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udgets\Budget Amendment FY 2021\"/>
    </mc:Choice>
  </mc:AlternateContent>
  <bookViews>
    <workbookView xWindow="0" yWindow="0" windowWidth="23040" windowHeight="8616" firstSheet="13" activeTab="13"/>
  </bookViews>
  <sheets>
    <sheet name="Fund Recon-Summary" sheetId="11" state="hidden" r:id="rId1"/>
    <sheet name="General Fund Cover" sheetId="14" state="hidden" r:id="rId2"/>
    <sheet name="GF SUMMARY-NEEDS WORK" sheetId="25" state="hidden" r:id="rId3"/>
    <sheet name="GF Capital Exp by Depart" sheetId="20" state="hidden" r:id="rId4"/>
    <sheet name="GF Capital Upkeep" sheetId="21" state="hidden" r:id="rId5"/>
    <sheet name="Debt Service Cover" sheetId="16" state="hidden" r:id="rId6"/>
    <sheet name="Debt Service Fund" sheetId="12" state="hidden" r:id="rId7"/>
    <sheet name="Debt Service Cash Flow" sheetId="5" state="hidden" r:id="rId8"/>
    <sheet name="Capital Project Cover" sheetId="17" state="hidden" r:id="rId9"/>
    <sheet name="Capital Projects Fund" sheetId="13" state="hidden" r:id="rId10"/>
    <sheet name="Capital Project Cash Flow" sheetId="8" state="hidden" r:id="rId11"/>
    <sheet name="Capital Upkeep Cash Flow" sheetId="7" state="hidden" r:id="rId12"/>
    <sheet name=" District Cash Flow" sheetId="1" state="hidden" r:id="rId13"/>
    <sheet name="Pie Chart" sheetId="30" r:id="rId14"/>
    <sheet name="Sheet2" sheetId="27" state="hidden" r:id="rId15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12">' District Cash Flow'!$A$1:$R$39</definedName>
    <definedName name="_xlnm.Print_Area" localSheetId="10">'Capital Project Cash Flow'!$A$1:$AG$57</definedName>
    <definedName name="_xlnm.Print_Area" localSheetId="11">'Capital Upkeep Cash Flow'!$A$1:$AG$46</definedName>
    <definedName name="_xlnm.Print_Area" localSheetId="7">'Debt Service Cash Flow'!$A$1:$L$73</definedName>
    <definedName name="_xlnm.Print_Area" localSheetId="3">'GF Capital Exp by Depart'!$A$1:$G$38</definedName>
    <definedName name="_xlnm.Print_Area" localSheetId="4">'GF Capital Upkeep'!$A$1:$D$23</definedName>
    <definedName name="_xlnm.Print_Area" localSheetId="13">'Pie Chart'!$A$1:$C$53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0" l="1"/>
  <c r="B37" i="30" l="1"/>
  <c r="C26" i="30" s="1"/>
  <c r="B20" i="30"/>
  <c r="C13" i="30" s="1"/>
  <c r="C23" i="30" l="1"/>
  <c r="C32" i="30"/>
  <c r="C31" i="30"/>
  <c r="C29" i="30"/>
  <c r="C14" i="30"/>
  <c r="C16" i="30"/>
  <c r="C12" i="30"/>
  <c r="B39" i="30"/>
  <c r="B53" i="30" s="1"/>
  <c r="C11" i="30"/>
  <c r="C10" i="30"/>
  <c r="C9" i="30"/>
  <c r="C35" i="30"/>
  <c r="C27" i="30"/>
  <c r="C19" i="30"/>
  <c r="C36" i="30"/>
  <c r="C30" i="30"/>
  <c r="C17" i="30"/>
  <c r="C28" i="30"/>
  <c r="C34" i="30"/>
  <c r="C25" i="30"/>
  <c r="C15" i="30"/>
  <c r="C24" i="30"/>
  <c r="C33" i="30"/>
  <c r="C18" i="30"/>
  <c r="B47" i="27" l="1"/>
  <c r="B51" i="27"/>
  <c r="B63" i="27"/>
  <c r="I37" i="17" l="1"/>
  <c r="I37" i="16"/>
  <c r="I37" i="14"/>
  <c r="C10" i="11" l="1"/>
  <c r="C11" i="11"/>
  <c r="C36" i="11"/>
  <c r="C35" i="11"/>
  <c r="K33" i="8" l="1"/>
  <c r="K30" i="8"/>
  <c r="H18" i="13" l="1"/>
  <c r="C33" i="11"/>
  <c r="C22" i="11"/>
  <c r="C21" i="11"/>
  <c r="H4" i="13" l="1"/>
  <c r="I31" i="13" l="1"/>
  <c r="I28" i="13"/>
  <c r="I26" i="13"/>
  <c r="I24" i="13"/>
  <c r="I22" i="13"/>
  <c r="I14" i="13"/>
  <c r="I13" i="13"/>
  <c r="I10" i="13"/>
  <c r="I9" i="13"/>
  <c r="I40" i="12"/>
  <c r="I32" i="12"/>
  <c r="I31" i="12"/>
  <c r="I22" i="12"/>
  <c r="D68" i="25"/>
  <c r="E68" i="25" s="1"/>
  <c r="D67" i="25"/>
  <c r="E67" i="25" s="1"/>
  <c r="D66" i="25"/>
  <c r="E66" i="25" s="1"/>
  <c r="D65" i="25"/>
  <c r="E65" i="25" s="1"/>
  <c r="D64" i="25"/>
  <c r="E64" i="25" s="1"/>
  <c r="D63" i="25"/>
  <c r="E63" i="25" s="1"/>
  <c r="D62" i="25"/>
  <c r="E62" i="25" s="1"/>
  <c r="D61" i="25"/>
  <c r="C61" i="25"/>
  <c r="E61" i="25" s="1"/>
  <c r="D60" i="25"/>
  <c r="E60" i="25" s="1"/>
  <c r="E59" i="25"/>
  <c r="D59" i="25"/>
  <c r="D58" i="25"/>
  <c r="E58" i="25" s="1"/>
  <c r="D57" i="25"/>
  <c r="E57" i="25" s="1"/>
  <c r="D54" i="25"/>
  <c r="C54" i="25"/>
  <c r="E54" i="25" s="1"/>
  <c r="B54" i="25"/>
  <c r="D53" i="25"/>
  <c r="E53" i="25" s="1"/>
  <c r="D52" i="25"/>
  <c r="E52" i="25" s="1"/>
  <c r="D51" i="25"/>
  <c r="E51" i="25" s="1"/>
  <c r="E50" i="25"/>
  <c r="D50" i="25"/>
  <c r="D49" i="25"/>
  <c r="E49" i="25" s="1"/>
  <c r="D48" i="25"/>
  <c r="E48" i="25" s="1"/>
  <c r="D47" i="25"/>
  <c r="E47" i="25" s="1"/>
  <c r="D45" i="25"/>
  <c r="E45" i="25" s="1"/>
  <c r="D44" i="25"/>
  <c r="E44" i="25" s="1"/>
  <c r="D43" i="25"/>
  <c r="E43" i="25" s="1"/>
  <c r="D42" i="25"/>
  <c r="E42" i="25" s="1"/>
  <c r="F34" i="25"/>
  <c r="D34" i="25"/>
  <c r="C34" i="25"/>
  <c r="B34" i="25"/>
  <c r="F33" i="25"/>
  <c r="D33" i="25"/>
  <c r="C33" i="25"/>
  <c r="B33" i="25"/>
  <c r="F32" i="25"/>
  <c r="D32" i="25"/>
  <c r="C32" i="25"/>
  <c r="B32" i="25"/>
  <c r="F31" i="25"/>
  <c r="D31" i="25"/>
  <c r="C31" i="25"/>
  <c r="B31" i="25"/>
  <c r="F30" i="25"/>
  <c r="D30" i="25"/>
  <c r="C30" i="25"/>
  <c r="B30" i="25"/>
  <c r="F29" i="25"/>
  <c r="D29" i="25"/>
  <c r="C29" i="25"/>
  <c r="B29" i="25"/>
  <c r="F28" i="25"/>
  <c r="D28" i="25"/>
  <c r="C28" i="25"/>
  <c r="B28" i="25"/>
  <c r="F27" i="25"/>
  <c r="D27" i="25"/>
  <c r="C27" i="25"/>
  <c r="B27" i="25"/>
  <c r="F26" i="25"/>
  <c r="D26" i="25"/>
  <c r="C26" i="25"/>
  <c r="B26" i="25"/>
  <c r="F25" i="25"/>
  <c r="D25" i="25"/>
  <c r="C25" i="25"/>
  <c r="B25" i="25"/>
  <c r="F24" i="25"/>
  <c r="F46" i="25" s="1"/>
  <c r="D46" i="25" s="1"/>
  <c r="E46" i="25" s="1"/>
  <c r="D24" i="25"/>
  <c r="C24" i="25"/>
  <c r="B24" i="25"/>
  <c r="F23" i="25"/>
  <c r="D23" i="25"/>
  <c r="C23" i="25"/>
  <c r="B23" i="25"/>
  <c r="F22" i="25"/>
  <c r="D22" i="25"/>
  <c r="C22" i="25"/>
  <c r="B22" i="25"/>
  <c r="F21" i="25"/>
  <c r="D21" i="25"/>
  <c r="C21" i="25"/>
  <c r="B21" i="25"/>
  <c r="F15" i="25"/>
  <c r="D15" i="25"/>
  <c r="C15" i="25"/>
  <c r="B15" i="25"/>
  <c r="F14" i="25"/>
  <c r="D14" i="25"/>
  <c r="C14" i="25"/>
  <c r="B14" i="25"/>
  <c r="F13" i="25"/>
  <c r="D13" i="25"/>
  <c r="C13" i="25"/>
  <c r="B13" i="25"/>
  <c r="F12" i="25"/>
  <c r="D12" i="25"/>
  <c r="C12" i="25"/>
  <c r="B12" i="25"/>
  <c r="F11" i="25"/>
  <c r="D11" i="25"/>
  <c r="C11" i="25"/>
  <c r="E11" i="25" s="1"/>
  <c r="B11" i="25"/>
  <c r="F10" i="25"/>
  <c r="D10" i="25"/>
  <c r="C10" i="25"/>
  <c r="B10" i="25"/>
  <c r="F9" i="25"/>
  <c r="D9" i="25"/>
  <c r="C9" i="25"/>
  <c r="B9" i="25"/>
  <c r="F8" i="25"/>
  <c r="D8" i="25"/>
  <c r="C8" i="25"/>
  <c r="B8" i="25"/>
  <c r="F7" i="25"/>
  <c r="D7" i="25"/>
  <c r="C7" i="25"/>
  <c r="E7" i="25" s="1"/>
  <c r="B7" i="25"/>
  <c r="F6" i="25"/>
  <c r="D6" i="25"/>
  <c r="C6" i="25"/>
  <c r="B6" i="25"/>
  <c r="F5" i="25"/>
  <c r="D5" i="25"/>
  <c r="C5" i="25"/>
  <c r="E5" i="25" s="1"/>
  <c r="B5" i="25"/>
  <c r="E13" i="25" l="1"/>
  <c r="E15" i="25"/>
  <c r="E24" i="25"/>
  <c r="E14" i="25"/>
  <c r="E23" i="25"/>
  <c r="E25" i="25"/>
  <c r="E27" i="25"/>
  <c r="E31" i="25"/>
  <c r="E33" i="25"/>
  <c r="E32" i="25"/>
  <c r="D17" i="25"/>
  <c r="E12" i="25"/>
  <c r="F17" i="25"/>
  <c r="E21" i="25"/>
  <c r="B36" i="25"/>
  <c r="E26" i="25"/>
  <c r="E28" i="25"/>
  <c r="E30" i="25"/>
  <c r="E29" i="25"/>
  <c r="B17" i="25"/>
  <c r="E34" i="25"/>
  <c r="F36" i="25"/>
  <c r="E9" i="25"/>
  <c r="C36" i="25"/>
  <c r="C17" i="25"/>
  <c r="E8" i="25"/>
  <c r="E10" i="25"/>
  <c r="E6" i="25"/>
  <c r="E22" i="25"/>
  <c r="D36" i="25"/>
  <c r="F39" i="25" l="1"/>
  <c r="C39" i="25"/>
  <c r="C70" i="25" s="1"/>
  <c r="D39" i="25"/>
  <c r="D70" i="25" s="1"/>
  <c r="B39" i="25"/>
  <c r="B70" i="25" s="1"/>
  <c r="E36" i="25"/>
  <c r="E17" i="25"/>
  <c r="E39" i="25" l="1"/>
  <c r="E70" i="25" s="1"/>
  <c r="F33" i="5" l="1"/>
  <c r="E33" i="5"/>
  <c r="L66" i="5" l="1"/>
  <c r="I16" i="12"/>
  <c r="I15" i="12"/>
  <c r="I14" i="12"/>
  <c r="I13" i="12"/>
  <c r="I12" i="12"/>
  <c r="I11" i="12"/>
  <c r="I10" i="12"/>
  <c r="C17" i="21"/>
  <c r="C20" i="11"/>
  <c r="E14" i="5" l="1"/>
  <c r="H4" i="12" l="1"/>
  <c r="H25" i="13" l="1"/>
  <c r="I25" i="13" s="1"/>
  <c r="H23" i="13"/>
  <c r="I23" i="13" s="1"/>
  <c r="E10" i="5"/>
  <c r="C7" i="11"/>
  <c r="G15" i="13" l="1"/>
  <c r="G34" i="13"/>
  <c r="F34" i="13"/>
  <c r="E34" i="13"/>
  <c r="D34" i="13"/>
  <c r="C34" i="13"/>
  <c r="B34" i="13"/>
  <c r="I27" i="13"/>
  <c r="I21" i="13"/>
  <c r="G18" i="13"/>
  <c r="G36" i="13" s="1"/>
  <c r="F18" i="13"/>
  <c r="F36" i="13" s="1"/>
  <c r="H15" i="13"/>
  <c r="E15" i="13"/>
  <c r="E18" i="13" s="1"/>
  <c r="E36" i="13" s="1"/>
  <c r="D15" i="13"/>
  <c r="C15" i="13"/>
  <c r="B15" i="13"/>
  <c r="D13" i="13"/>
  <c r="C13" i="13"/>
  <c r="B13" i="13"/>
  <c r="C18" i="13" l="1"/>
  <c r="C36" i="13" s="1"/>
  <c r="B18" i="13"/>
  <c r="B36" i="13" s="1"/>
  <c r="D18" i="13"/>
  <c r="D36" i="13" s="1"/>
  <c r="I15" i="13"/>
  <c r="H34" i="13" l="1"/>
  <c r="I34" i="13" s="1"/>
  <c r="H36" i="13" l="1"/>
  <c r="I36" i="13" s="1"/>
  <c r="AG38" i="7"/>
  <c r="AE38" i="7"/>
  <c r="AC38" i="7"/>
  <c r="AA38" i="7"/>
  <c r="Y38" i="7"/>
  <c r="W38" i="7"/>
  <c r="U38" i="7"/>
  <c r="S38" i="7"/>
  <c r="Q38" i="7"/>
  <c r="O38" i="7"/>
  <c r="M38" i="7"/>
  <c r="AG15" i="7"/>
  <c r="AE15" i="7"/>
  <c r="AC15" i="7"/>
  <c r="AA15" i="7"/>
  <c r="Y15" i="7"/>
  <c r="W15" i="7"/>
  <c r="U15" i="7"/>
  <c r="S15" i="7"/>
  <c r="Q15" i="7"/>
  <c r="O15" i="7"/>
  <c r="M15" i="7"/>
  <c r="AG55" i="8" l="1"/>
  <c r="AE55" i="8"/>
  <c r="AC55" i="8"/>
  <c r="AA55" i="8"/>
  <c r="Y55" i="8"/>
  <c r="W55" i="8"/>
  <c r="U55" i="8"/>
  <c r="S55" i="8"/>
  <c r="Q55" i="8"/>
  <c r="O55" i="8"/>
  <c r="M55" i="8"/>
  <c r="K55" i="8"/>
  <c r="I55" i="8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C18" i="1"/>
  <c r="D3" i="1" s="1"/>
  <c r="D18" i="1" s="1"/>
  <c r="B18" i="1"/>
  <c r="D12" i="1"/>
  <c r="E12" i="1" s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D5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D4" i="1"/>
  <c r="F12" i="1" l="1"/>
  <c r="G12" i="1" s="1"/>
  <c r="H12" i="1" s="1"/>
  <c r="I12" i="1" s="1"/>
  <c r="J12" i="1" s="1"/>
  <c r="E34" i="20" l="1"/>
  <c r="C20" i="21" s="1"/>
  <c r="C22" i="21" s="1"/>
  <c r="B32" i="27" l="1"/>
  <c r="B28" i="27"/>
  <c r="B31" i="27"/>
  <c r="B16" i="27"/>
  <c r="B13" i="27"/>
  <c r="B12" i="27"/>
  <c r="B19" i="27"/>
  <c r="B30" i="27"/>
  <c r="B14" i="27"/>
  <c r="B9" i="27"/>
  <c r="B18" i="27"/>
  <c r="B27" i="27"/>
  <c r="B10" i="27"/>
  <c r="B11" i="27"/>
  <c r="B15" i="27"/>
  <c r="B17" i="27"/>
  <c r="B33" i="27"/>
  <c r="B34" i="27"/>
  <c r="C24" i="11"/>
  <c r="C23" i="11"/>
  <c r="B40" i="12"/>
  <c r="C40" i="12"/>
  <c r="D40" i="12"/>
  <c r="E40" i="12"/>
  <c r="G40" i="12"/>
  <c r="C8" i="11" l="1"/>
  <c r="B25" i="27"/>
  <c r="B20" i="27"/>
  <c r="C12" i="27" s="1"/>
  <c r="B23" i="27"/>
  <c r="B29" i="27"/>
  <c r="B35" i="27"/>
  <c r="I19" i="12"/>
  <c r="E19" i="12"/>
  <c r="C19" i="12"/>
  <c r="C13" i="27" l="1"/>
  <c r="C14" i="27"/>
  <c r="C18" i="27"/>
  <c r="C9" i="27"/>
  <c r="C10" i="27"/>
  <c r="C17" i="27"/>
  <c r="C19" i="27"/>
  <c r="B24" i="27"/>
  <c r="B36" i="27"/>
  <c r="C16" i="27"/>
  <c r="C11" i="27"/>
  <c r="C15" i="27"/>
  <c r="B26" i="27"/>
  <c r="C9" i="11"/>
  <c r="H22" i="12"/>
  <c r="F35" i="12"/>
  <c r="G35" i="12" s="1"/>
  <c r="H35" i="12" s="1"/>
  <c r="I35" i="12" s="1"/>
  <c r="E35" i="12"/>
  <c r="D35" i="12"/>
  <c r="C35" i="12"/>
  <c r="B35" i="12"/>
  <c r="F34" i="12"/>
  <c r="G34" i="12" s="1"/>
  <c r="H34" i="12" s="1"/>
  <c r="I34" i="12" s="1"/>
  <c r="E34" i="12"/>
  <c r="D34" i="12"/>
  <c r="C34" i="12"/>
  <c r="B34" i="12"/>
  <c r="G33" i="12"/>
  <c r="H33" i="12" s="1"/>
  <c r="F33" i="12"/>
  <c r="E33" i="12"/>
  <c r="D33" i="12"/>
  <c r="C33" i="12"/>
  <c r="B33" i="12"/>
  <c r="F32" i="12"/>
  <c r="G32" i="12" s="1"/>
  <c r="E32" i="12"/>
  <c r="D32" i="12"/>
  <c r="C32" i="12"/>
  <c r="B32" i="12"/>
  <c r="F31" i="12"/>
  <c r="G31" i="12" s="1"/>
  <c r="H31" i="12" s="1"/>
  <c r="F30" i="12"/>
  <c r="E30" i="12"/>
  <c r="I30" i="12" s="1"/>
  <c r="D30" i="12"/>
  <c r="C30" i="12"/>
  <c r="B30" i="12"/>
  <c r="F29" i="12"/>
  <c r="E29" i="12"/>
  <c r="I29" i="12" s="1"/>
  <c r="D29" i="12"/>
  <c r="C29" i="12"/>
  <c r="B29" i="12"/>
  <c r="F28" i="12"/>
  <c r="E28" i="12"/>
  <c r="I28" i="12" s="1"/>
  <c r="D28" i="12"/>
  <c r="C28" i="12"/>
  <c r="B28" i="12"/>
  <c r="F27" i="12"/>
  <c r="E27" i="12"/>
  <c r="I27" i="12" s="1"/>
  <c r="D27" i="12"/>
  <c r="C27" i="12"/>
  <c r="B27" i="12"/>
  <c r="F26" i="12"/>
  <c r="E26" i="12"/>
  <c r="I26" i="12" s="1"/>
  <c r="D26" i="12"/>
  <c r="C26" i="12"/>
  <c r="B26" i="12"/>
  <c r="F25" i="12"/>
  <c r="E25" i="12"/>
  <c r="I25" i="12" s="1"/>
  <c r="D25" i="12"/>
  <c r="C25" i="12"/>
  <c r="B25" i="12"/>
  <c r="E16" i="12"/>
  <c r="C16" i="12"/>
  <c r="E15" i="12"/>
  <c r="E6" i="1" l="1"/>
  <c r="B37" i="27"/>
  <c r="C24" i="27" s="1"/>
  <c r="I33" i="12"/>
  <c r="E18" i="1"/>
  <c r="F3" i="1" s="1"/>
  <c r="F18" i="1" s="1"/>
  <c r="G3" i="1" s="1"/>
  <c r="G18" i="1" s="1"/>
  <c r="H3" i="1" s="1"/>
  <c r="H18" i="1" s="1"/>
  <c r="I3" i="1" s="1"/>
  <c r="I18" i="1" s="1"/>
  <c r="J3" i="1" s="1"/>
  <c r="J18" i="1" s="1"/>
  <c r="K3" i="1" s="1"/>
  <c r="K18" i="1" s="1"/>
  <c r="L3" i="1" s="1"/>
  <c r="L18" i="1" s="1"/>
  <c r="M3" i="1" s="1"/>
  <c r="M18" i="1" s="1"/>
  <c r="N3" i="1" s="1"/>
  <c r="N18" i="1" s="1"/>
  <c r="O3" i="1" s="1"/>
  <c r="O18" i="1" s="1"/>
  <c r="P3" i="1" s="1"/>
  <c r="P18" i="1" s="1"/>
  <c r="Q3" i="1" s="1"/>
  <c r="Q18" i="1" s="1"/>
  <c r="R3" i="1" s="1"/>
  <c r="R18" i="1" s="1"/>
  <c r="C34" i="11"/>
  <c r="C26" i="27" l="1"/>
  <c r="C25" i="27"/>
  <c r="C33" i="27"/>
  <c r="C32" i="27"/>
  <c r="C31" i="27"/>
  <c r="C34" i="27"/>
  <c r="C27" i="27"/>
  <c r="C28" i="27"/>
  <c r="C30" i="27"/>
  <c r="C35" i="27"/>
  <c r="B39" i="27"/>
  <c r="C29" i="27"/>
  <c r="C23" i="27"/>
  <c r="C36" i="27"/>
  <c r="G22" i="12"/>
  <c r="F22" i="12"/>
  <c r="E22" i="12"/>
  <c r="D22" i="12"/>
  <c r="C22" i="12"/>
  <c r="B22" i="12"/>
  <c r="L15" i="5" l="1"/>
  <c r="K15" i="5"/>
  <c r="J15" i="5"/>
  <c r="I15" i="5"/>
  <c r="H15" i="5"/>
  <c r="G15" i="5"/>
  <c r="F15" i="5"/>
  <c r="D33" i="5"/>
  <c r="C33" i="5"/>
  <c r="H42" i="12"/>
  <c r="H44" i="12" s="1"/>
  <c r="G42" i="12"/>
  <c r="G44" i="12" s="1"/>
  <c r="F42" i="12"/>
  <c r="E42" i="12"/>
  <c r="D42" i="12"/>
  <c r="C42" i="12"/>
  <c r="C44" i="12" s="1"/>
  <c r="B42" i="12"/>
  <c r="B44" i="12" s="1"/>
  <c r="K66" i="5"/>
  <c r="G59" i="5"/>
  <c r="H59" i="5"/>
  <c r="I59" i="5" s="1"/>
  <c r="J66" i="5"/>
  <c r="I66" i="5"/>
  <c r="H66" i="5"/>
  <c r="G66" i="5"/>
  <c r="F66" i="5"/>
  <c r="E44" i="12" l="1"/>
  <c r="I44" i="12" s="1"/>
  <c r="I42" i="12"/>
  <c r="F44" i="12"/>
  <c r="D44" i="12"/>
  <c r="D54" i="5"/>
  <c r="C38" i="11" l="1"/>
  <c r="C12" i="11" l="1"/>
  <c r="L5" i="5" l="1"/>
  <c r="K5" i="5"/>
  <c r="J5" i="5"/>
  <c r="I5" i="5"/>
  <c r="H5" i="5"/>
  <c r="G5" i="5"/>
  <c r="F5" i="5"/>
  <c r="E5" i="5"/>
  <c r="D5" i="5"/>
  <c r="C65" i="5" l="1"/>
  <c r="C69" i="5" s="1"/>
  <c r="D65" i="5" s="1"/>
  <c r="D69" i="5" s="1"/>
  <c r="E69" i="5" s="1"/>
  <c r="F65" i="5" s="1"/>
  <c r="F69" i="5" s="1"/>
  <c r="G65" i="5" s="1"/>
  <c r="G69" i="5" s="1"/>
  <c r="H65" i="5" s="1"/>
  <c r="H69" i="5" s="1"/>
  <c r="I65" i="5" s="1"/>
  <c r="I69" i="5" s="1"/>
  <c r="J65" i="5" s="1"/>
  <c r="J69" i="5" s="1"/>
  <c r="K65" i="5" s="1"/>
  <c r="K69" i="5" s="1"/>
  <c r="L65" i="5" s="1"/>
  <c r="L69" i="5" s="1"/>
  <c r="F59" i="5"/>
  <c r="C58" i="5"/>
  <c r="C54" i="5"/>
  <c r="D46" i="5" s="1"/>
  <c r="F47" i="5"/>
  <c r="G47" i="5" s="1"/>
  <c r="H47" i="5" s="1"/>
  <c r="I47" i="5" s="1"/>
  <c r="J47" i="5" s="1"/>
  <c r="K47" i="5" s="1"/>
  <c r="L47" i="5" s="1"/>
  <c r="C42" i="5"/>
  <c r="D36" i="5" s="1"/>
  <c r="D42" i="5" s="1"/>
  <c r="F37" i="5"/>
  <c r="G37" i="5" s="1"/>
  <c r="H37" i="5" s="1"/>
  <c r="I37" i="5" s="1"/>
  <c r="J37" i="5" s="1"/>
  <c r="K37" i="5" s="1"/>
  <c r="L37" i="5" s="1"/>
  <c r="D14" i="5"/>
  <c r="C10" i="5"/>
  <c r="D4" i="5" l="1"/>
  <c r="D10" i="5" s="1"/>
  <c r="F4" i="5" s="1"/>
  <c r="F10" i="5" s="1"/>
  <c r="G4" i="5" s="1"/>
  <c r="G10" i="5" s="1"/>
  <c r="H4" i="5" s="1"/>
  <c r="H10" i="5" s="1"/>
  <c r="I4" i="5" s="1"/>
  <c r="I10" i="5" s="1"/>
  <c r="J4" i="5" s="1"/>
  <c r="J10" i="5" s="1"/>
  <c r="K4" i="5" s="1"/>
  <c r="K10" i="5" s="1"/>
  <c r="L4" i="5" s="1"/>
  <c r="L10" i="5" s="1"/>
  <c r="E54" i="5"/>
  <c r="F46" i="5" s="1"/>
  <c r="C62" i="5"/>
  <c r="D58" i="5" s="1"/>
  <c r="D62" i="5" s="1"/>
  <c r="E62" i="5" s="1"/>
  <c r="F58" i="5" s="1"/>
  <c r="F62" i="5" s="1"/>
  <c r="G58" i="5" s="1"/>
  <c r="G62" i="5" s="1"/>
  <c r="H58" i="5" s="1"/>
  <c r="H62" i="5" s="1"/>
  <c r="I58" i="5" s="1"/>
  <c r="I62" i="5" s="1"/>
  <c r="J58" i="5" s="1"/>
  <c r="J62" i="5" s="1"/>
  <c r="K58" i="5" s="1"/>
  <c r="L58" i="5" s="1"/>
  <c r="L62" i="5" s="1"/>
  <c r="E42" i="5"/>
  <c r="F36" i="5" s="1"/>
  <c r="F42" i="5" s="1"/>
  <c r="G36" i="5" s="1"/>
  <c r="G42" i="5" s="1"/>
  <c r="H36" i="5" s="1"/>
  <c r="H42" i="5" s="1"/>
  <c r="I36" i="5" s="1"/>
  <c r="I42" i="5" s="1"/>
  <c r="J36" i="5" s="1"/>
  <c r="J42" i="5" s="1"/>
  <c r="K36" i="5" s="1"/>
  <c r="K42" i="5" s="1"/>
  <c r="L36" i="5" s="1"/>
  <c r="L42" i="5" s="1"/>
  <c r="C25" i="11"/>
  <c r="F14" i="5" l="1"/>
  <c r="G14" i="5" s="1"/>
  <c r="G33" i="5" s="1"/>
  <c r="F54" i="5"/>
  <c r="G46" i="5" s="1"/>
  <c r="H14" i="5" l="1"/>
  <c r="H33" i="5" s="1"/>
  <c r="G54" i="5"/>
  <c r="H46" i="5" s="1"/>
  <c r="I14" i="5" l="1"/>
  <c r="I33" i="5" s="1"/>
  <c r="H54" i="5"/>
  <c r="I46" i="5" s="1"/>
  <c r="J14" i="5" l="1"/>
  <c r="J33" i="5" s="1"/>
  <c r="I54" i="5"/>
  <c r="J46" i="5" s="1"/>
  <c r="K14" i="5" l="1"/>
  <c r="K33" i="5" s="1"/>
  <c r="J54" i="5"/>
  <c r="K46" i="5" s="1"/>
  <c r="L14" i="5" l="1"/>
  <c r="L33" i="5" s="1"/>
  <c r="K54" i="5"/>
  <c r="L46" i="5" s="1"/>
  <c r="L54" i="5" s="1"/>
</calcChain>
</file>

<file path=xl/sharedStrings.xml><?xml version="1.0" encoding="utf-8"?>
<sst xmlns="http://schemas.openxmlformats.org/spreadsheetml/2006/main" count="662" uniqueCount="386">
  <si>
    <t>Projected Cash Balance, BB</t>
  </si>
  <si>
    <t>Expense - Operations</t>
  </si>
  <si>
    <t>Projected Cash Balance, YE</t>
  </si>
  <si>
    <t>Goal - Maintain:</t>
  </si>
  <si>
    <t>Reserve - Operations</t>
  </si>
  <si>
    <t>Notes:</t>
  </si>
  <si>
    <t>Expense Projects (WL/WW)</t>
  </si>
  <si>
    <t>FY 2019</t>
  </si>
  <si>
    <t>FY 2020</t>
  </si>
  <si>
    <t>FY 2021</t>
  </si>
  <si>
    <t>FY 2022</t>
  </si>
  <si>
    <t>FY 2023</t>
  </si>
  <si>
    <t>cover any deficit from operating revenue not sufficient to cover</t>
  </si>
  <si>
    <t>operating expenses</t>
  </si>
  <si>
    <t>FY 2024</t>
  </si>
  <si>
    <t>Transfers OUT - DS</t>
  </si>
  <si>
    <t>FY 2025</t>
  </si>
  <si>
    <t>FY 2026</t>
  </si>
  <si>
    <t>FY 2027</t>
  </si>
  <si>
    <t>FY 2028</t>
  </si>
  <si>
    <t>Receipts- 620TXDOT Fee</t>
  </si>
  <si>
    <t>Debt Service  - Cash Flow</t>
  </si>
  <si>
    <t>District WCID # 17</t>
  </si>
  <si>
    <t>Original 
Bond Amount</t>
  </si>
  <si>
    <t>Projected Funds Assigned to Debt Service</t>
  </si>
  <si>
    <t>Travis County WCID # 17 WW and SS Revenue Bonds, Series 2010</t>
  </si>
  <si>
    <t>Travis County WCID # 17 WW and SS Revenue Bonds, Series 2012</t>
  </si>
  <si>
    <t>Travis County WCID # 17 WW and SS Revenue Bonds, Series 2016</t>
  </si>
  <si>
    <t>Steiner Ranch</t>
  </si>
  <si>
    <t>Projected Debt Service Funds to be Received</t>
  </si>
  <si>
    <t>Steiner Ranch Defined Area Unlimited Tax Bonds, Series 2009</t>
  </si>
  <si>
    <t>Steiner Ranch Defined Area Unlimited Tax Bonds, Series 2009A</t>
  </si>
  <si>
    <t>Steiner Ranch D.A. Unlimited Tax Refunding Bonds, Series 2009</t>
  </si>
  <si>
    <t>Steiner Ranch Defined Area Unlimited Tax Bonds, Series 2010</t>
  </si>
  <si>
    <t>Steiner Ranch D.A. Unlimited Tax Refunding Bonds, Series 2011</t>
  </si>
  <si>
    <t>Steiner Ranch Defined Area Unlimited Tax Bonds, Series 2011</t>
  </si>
  <si>
    <t>Steiner Ranch D.A. Unlimited Tax Refunding Bonds, Series 2012</t>
  </si>
  <si>
    <t>Steiner Ranch D.A. Unlimited Tax Refunding Bonds, Series 2013</t>
  </si>
  <si>
    <t>Steiner Ranch D.A. Unlimited Tax Refunding Bonds, Series 2013-CAB</t>
  </si>
  <si>
    <t>Steiner Ranch Defined Area Unlimited Tax Bonds, Series 2013</t>
  </si>
  <si>
    <t>Steiner Ranch D.A. Unlimited Tax Refunding Bonds, Series 2014</t>
  </si>
  <si>
    <t>Steiner Ranch D.A. Unlimited Tax Refunding Bonds, Series 2014-CAB</t>
  </si>
  <si>
    <t>Steiner Ranch Defined Area Unlimited Tax Bonds, Series 2015</t>
  </si>
  <si>
    <t>Steiner Ranch D.A. Unlimited Tax Refunding Bonds, Series 2015</t>
  </si>
  <si>
    <t>Steiner Ranch D.A. Unlimited Tax Refunding Bonds, Series 2016</t>
  </si>
  <si>
    <t>Flintrock Ranch Estates</t>
  </si>
  <si>
    <t>Flintrock Ranch Estates Defined Area Unlimited Tax Bonds 2009</t>
  </si>
  <si>
    <t>Flintrock Ranch Estates Defined Area Unlimited Tax Bonds 2009A</t>
  </si>
  <si>
    <t>Flintrock Ranch Estates D.A. Unlimited Tax Refunding Bonds 2013</t>
  </si>
  <si>
    <t>Flintrock Ranch Estates D.A. Unlimited Tax Refunding Bonds 2017</t>
  </si>
  <si>
    <t>*DS Funds projected at 2% increase from prior year</t>
  </si>
  <si>
    <t>Serene Hills</t>
  </si>
  <si>
    <t>Serene Hills Defined Area Unlimited Tax Bonds, Series 2015</t>
  </si>
  <si>
    <t>Serene Hills Defined Area Unlimited Tax Bonds, Series 2017</t>
  </si>
  <si>
    <t>Serene Hills Defined Area Unlimited Tax Bonds, Series 2017A</t>
  </si>
  <si>
    <t>Apache Shores</t>
  </si>
  <si>
    <t>Apache Shores Special Project Contract Revenue Bonds 1997</t>
  </si>
  <si>
    <t>River Ridge</t>
  </si>
  <si>
    <t>River Ridge Special Project Contract Revenue Bonds 2004</t>
  </si>
  <si>
    <t>Lakeway Regional Effluent ST</t>
  </si>
  <si>
    <t>Lakeway Regional Drip Irrigation</t>
  </si>
  <si>
    <t>Creekside Drip Irrigation</t>
  </si>
  <si>
    <t>FY 2018</t>
  </si>
  <si>
    <t>Tax O&amp;M *</t>
  </si>
  <si>
    <t xml:space="preserve"> </t>
  </si>
  <si>
    <t>Receipts- Operating Budget Surplus/(Deficit)</t>
  </si>
  <si>
    <t>Tax O&amp;M SERENE HILLS *</t>
  </si>
  <si>
    <t>Transfer OUT -  DS</t>
  </si>
  <si>
    <t>funds to cover debt service.</t>
  </si>
  <si>
    <t>major rehabilitation to facilities, lines, replacement, or CRF projects</t>
  </si>
  <si>
    <t>money set aside for future designated  projects</t>
  </si>
  <si>
    <t>Expense - Reserve (TXDOT/MWTP)</t>
  </si>
  <si>
    <t xml:space="preserve">List station rehab </t>
  </si>
  <si>
    <t>Manhole rehab</t>
  </si>
  <si>
    <t xml:space="preserve">Meter upgrade program to include </t>
  </si>
  <si>
    <t>Fleet Vehicle Replacement (small/med truck, Specialty vehicle,  large vehicle, construction vehicle)</t>
  </si>
  <si>
    <t>See line replacement plan</t>
  </si>
  <si>
    <t>FY 2029</t>
  </si>
  <si>
    <t>FY 2030</t>
  </si>
  <si>
    <t>Total:</t>
  </si>
  <si>
    <t>Water Plant Membrane Replacement</t>
  </si>
  <si>
    <t xml:space="preserve">1 every other year for the next 6 years and then 2 every year for 2 years, </t>
  </si>
  <si>
    <t>3 per year for 4 years and then 4.5 per year for 18 years</t>
  </si>
  <si>
    <t>ECK</t>
  </si>
  <si>
    <t>MWTP</t>
  </si>
  <si>
    <t xml:space="preserve">Annual Total: </t>
  </si>
  <si>
    <t>TXDOT RM2222/620 bypass</t>
  </si>
  <si>
    <t>TXDOT EXPANSION</t>
  </si>
  <si>
    <t>Round Mountain Pump Station Expansion</t>
  </si>
  <si>
    <t>Mansfield WTP Expansion Phase II</t>
  </si>
  <si>
    <t>Mansfield WTP Expansion Phase III</t>
  </si>
  <si>
    <t>Mansfield WTP Expansion Phase IV</t>
  </si>
  <si>
    <t>Lohman's Pump Station</t>
  </si>
  <si>
    <t>Lohman's Piping Expansion</t>
  </si>
  <si>
    <t>Quinlan Park Road Water Main</t>
  </si>
  <si>
    <t>Steiner Ranch Storage Tank No.3</t>
  </si>
  <si>
    <t>FlintRock golf course Irrigation (exp to roughs)</t>
  </si>
  <si>
    <t>Serene Hills Effluent ST: #1 @ 10.5 MG</t>
  </si>
  <si>
    <t>Serene Hills Effluent ST: #2 @ 10.5 MG</t>
  </si>
  <si>
    <t>Serene Hills Effluent ROW Irrigation</t>
  </si>
  <si>
    <t>Serene Hills Irrigation</t>
  </si>
  <si>
    <t>A-1</t>
  </si>
  <si>
    <t>Spray</t>
  </si>
  <si>
    <t>A-2</t>
  </si>
  <si>
    <t>Drip</t>
  </si>
  <si>
    <t>A-3</t>
  </si>
  <si>
    <t>A-4</t>
  </si>
  <si>
    <t>A-5</t>
  </si>
  <si>
    <t>Apache Shores Projects:</t>
  </si>
  <si>
    <t>River Ridge Projects:</t>
  </si>
  <si>
    <t>Receipts- Capital Projects - AS Reserve</t>
  </si>
  <si>
    <t>Receipts- Capital Projects - SR  Reserve</t>
  </si>
  <si>
    <t>District Cash Available (O&amp;M and GF Operating)</t>
  </si>
  <si>
    <t>Projections based upon anticipated impact fee collections</t>
  </si>
  <si>
    <t>* *Assume 2.5% increase FY20-FY26 (Based upon anticipated Growth)</t>
  </si>
  <si>
    <t>Projected Bond</t>
  </si>
  <si>
    <t>FY 2031</t>
  </si>
  <si>
    <t>FY 2032</t>
  </si>
  <si>
    <t>FY 2033</t>
  </si>
  <si>
    <t>FY 2034</t>
  </si>
  <si>
    <t>WCID 17 District Project Summary:</t>
  </si>
  <si>
    <t>District Wide Projects:</t>
  </si>
  <si>
    <t>Estimated AV*</t>
  </si>
  <si>
    <t xml:space="preserve">Projections based upon ability to control expenses that produce future budget surpluses </t>
  </si>
  <si>
    <t>.</t>
  </si>
  <si>
    <t>Serene Hills Effluent Pumping Station and main</t>
  </si>
  <si>
    <t>Lakeway Regional Eff Tank fill control valve</t>
  </si>
  <si>
    <t>Flintrock Reuse Irrigation Pump Station</t>
  </si>
  <si>
    <t>Flintrock Eff Pumping Station, basin, main</t>
  </si>
  <si>
    <t>Reserve - Construction</t>
  </si>
  <si>
    <t>Total Reserve:</t>
  </si>
  <si>
    <t xml:space="preserve"> &lt; $7 million minimum reserve</t>
  </si>
  <si>
    <t>Apache Shores Maintenance Facility</t>
  </si>
  <si>
    <t>Flintrock DA Waste Water Projects:</t>
  </si>
  <si>
    <t>Water Line rehab/replacement projects</t>
  </si>
  <si>
    <t>Serene Hills Defined Area Unlimited Tax Bonds, Series 2018</t>
  </si>
  <si>
    <t>Travis County WCID # 17 WW and SS Refunding Bonds, Series 2019</t>
  </si>
  <si>
    <t>Steiner Ranch D.A. Unlimited Tax Refunding Bonds, Series 2019</t>
  </si>
  <si>
    <t>**Denotes estimated payments due to pending refunds or issues</t>
  </si>
  <si>
    <t>Jason F. Homan - General Manager</t>
  </si>
  <si>
    <t>Veronica Ellis- Administration/Finance Manager</t>
  </si>
  <si>
    <t xml:space="preserve">   Travis County WCID #17</t>
  </si>
  <si>
    <t>2018 Annual</t>
  </si>
  <si>
    <t>Test Year</t>
  </si>
  <si>
    <t>2019 Annual</t>
  </si>
  <si>
    <t>Budget</t>
  </si>
  <si>
    <t>General Fund</t>
  </si>
  <si>
    <t>*As of 4/30/2020</t>
  </si>
  <si>
    <t>Debt Service Fund</t>
  </si>
  <si>
    <t>Capital Projects Fund</t>
  </si>
  <si>
    <t>Serene Hills Defined Area Unlimited Tax Bonds, Series 2020-Pending</t>
  </si>
  <si>
    <t>Serene Hills Defined Area Unlimited Tax Bonds, Series 2019</t>
  </si>
  <si>
    <t xml:space="preserve">   Other Sources:</t>
  </si>
  <si>
    <t xml:space="preserve">   Other Uses:</t>
  </si>
  <si>
    <t>NET SURPLUS (DEFICIT)</t>
  </si>
  <si>
    <t>Debt Service</t>
  </si>
  <si>
    <t>2018 Actual</t>
  </si>
  <si>
    <t>2019 Actual</t>
  </si>
  <si>
    <t xml:space="preserve">2020 Annual </t>
  </si>
  <si>
    <t>2021 Annual</t>
  </si>
  <si>
    <t>% Change from</t>
  </si>
  <si>
    <t>April 19 - Mar 20</t>
  </si>
  <si>
    <t>Budget w/ Amend</t>
  </si>
  <si>
    <t>Budget-Proposed</t>
  </si>
  <si>
    <t>Bank Balance</t>
  </si>
  <si>
    <t>Tax Collection Steiner Ranch</t>
  </si>
  <si>
    <t>Tax Collection Flintrock Ranch Estates</t>
  </si>
  <si>
    <t>Tax Collection Serene Hills</t>
  </si>
  <si>
    <t>O&amp;M Tax Collection D17</t>
  </si>
  <si>
    <t>DSF/CBI Fee Collection Apache Shores</t>
  </si>
  <si>
    <t>DSF/CBI Fee Collection River Ridge</t>
  </si>
  <si>
    <t>Water Impact Fee Revenue</t>
  </si>
  <si>
    <t>Waste Water Impact Fee Revenue</t>
  </si>
  <si>
    <t>Capital Projects Fund-Construction Wastewater</t>
  </si>
  <si>
    <t>Capital Projects Fund-Construction Cardinal Hills Waterline</t>
  </si>
  <si>
    <t>Capital Projects Fund-Construction D17</t>
  </si>
  <si>
    <t>Capital Projects Fund-Construction Apache Shores</t>
  </si>
  <si>
    <t>Capital Projects Fund-Construction River Ridge</t>
  </si>
  <si>
    <t>Capital Projects Fund-Construction Serene Hills</t>
  </si>
  <si>
    <t>Capital Projects Fund-Construction Flintrock WW</t>
  </si>
  <si>
    <t>General Fund- O&amp;M Tsf to cover capital projects</t>
  </si>
  <si>
    <t>General Fund-TXDOT Fee Revenue from Customers</t>
  </si>
  <si>
    <t>General Fund-TXDOT Fee -D17 Match</t>
  </si>
  <si>
    <t>Capital Projects Fund-Restricted- TXDOT Fee</t>
  </si>
  <si>
    <t xml:space="preserve">   Expenses </t>
  </si>
  <si>
    <t xml:space="preserve">   Other Uses</t>
  </si>
  <si>
    <t xml:space="preserve">   Revenues</t>
  </si>
  <si>
    <t>Total of all Inflows:</t>
  </si>
  <si>
    <t>Total of all Outflows:</t>
  </si>
  <si>
    <t>Tax Collection Serene Hills O&amp;M</t>
  </si>
  <si>
    <t>Revenue/ Expenses</t>
  </si>
  <si>
    <t>General Fund -Transfer of O&amp;M Funds</t>
  </si>
  <si>
    <t xml:space="preserve">Debt Service Fund - D17 Bond payments </t>
  </si>
  <si>
    <t xml:space="preserve">Debt Service Fund - SR Bond payments </t>
  </si>
  <si>
    <t xml:space="preserve">Debt Service Fund - FR Bond payments </t>
  </si>
  <si>
    <t xml:space="preserve">Debt Service Fund - SH Bond payments </t>
  </si>
  <si>
    <t xml:space="preserve">Debt Service Fund - AS Bond payments </t>
  </si>
  <si>
    <t xml:space="preserve">Debt Service Fund - RR Bond payments </t>
  </si>
  <si>
    <t>Debt Service Fund - Bond Agent Fees- all areas</t>
  </si>
  <si>
    <t>Debt Service Fund - D17 Appraisal Fees</t>
  </si>
  <si>
    <t>Debt Service Fund - SR Appraisal Fees</t>
  </si>
  <si>
    <t>Debt Service Fund - FR Appraisal Fees</t>
  </si>
  <si>
    <t>Debt Service Fund - SH Appraisal Fees</t>
  </si>
  <si>
    <t>Transfer from General Fund for Revenue Bond pmts</t>
  </si>
  <si>
    <t xml:space="preserve">   Revenues: </t>
  </si>
  <si>
    <t xml:space="preserve">   Expenses: </t>
  </si>
  <si>
    <t>FY 2021 Capital Project Fund Budget</t>
  </si>
  <si>
    <t>FY 2021 Debt Service Fund Budget</t>
  </si>
  <si>
    <t>FY 2021 General Operating Fund Budget</t>
  </si>
  <si>
    <t>REVENUE</t>
  </si>
  <si>
    <t>EXPENSES</t>
  </si>
  <si>
    <t>Expenses - Admin</t>
  </si>
  <si>
    <t>TOTAL EXPENSES</t>
  </si>
  <si>
    <t>OPERATING SURPLUS (DEFICIT)</t>
  </si>
  <si>
    <t>O&amp;M Serene Hills DA Tax Fund -CY Collections</t>
  </si>
  <si>
    <t>O&amp;M Tax Fund -CY Collections</t>
  </si>
  <si>
    <t>O&amp;M Tax Fund -PY Collections</t>
  </si>
  <si>
    <t>Apache Shores Reserve</t>
  </si>
  <si>
    <t>River Ridge Reserve</t>
  </si>
  <si>
    <t>Serene Hills Tax Revenue</t>
  </si>
  <si>
    <t>Apache Shores Construction/Operating</t>
  </si>
  <si>
    <t>TWDB Bond Surplus</t>
  </si>
  <si>
    <t>TWDB - PY Water Line Project</t>
  </si>
  <si>
    <t>TXDOT/RR620 WL Relocation Fee</t>
  </si>
  <si>
    <t>Total of all Sources:</t>
  </si>
  <si>
    <t>General Fund - Construction DISTRICT</t>
  </si>
  <si>
    <t>General Fund - Construction FRDA</t>
  </si>
  <si>
    <t>General Fund - Construction SHDA</t>
  </si>
  <si>
    <t>General Fund - Construction - PY Contracts</t>
  </si>
  <si>
    <t>General Fund - Assigned - Debt Service WTP Loan</t>
  </si>
  <si>
    <t>General Fund - Assigned - TXDOT RR620 WL</t>
  </si>
  <si>
    <t>General Fund - Assigned - MWTP Expansion</t>
  </si>
  <si>
    <t>General Fund - Assigned - SHDA O&amp;M</t>
  </si>
  <si>
    <t>General Fund - Assigned - TWDB PY Waterline</t>
  </si>
  <si>
    <t>General Fund - Unassigned Reserve</t>
  </si>
  <si>
    <t>Capital Project - District</t>
  </si>
  <si>
    <t>Capital Project - District Refurb &amp; Maint of Assets</t>
  </si>
  <si>
    <t>Capital Project - Apache Shores</t>
  </si>
  <si>
    <t>Capital Projects - River Ridge</t>
  </si>
  <si>
    <t>CAPITAL EXPENSES BY DEPARTMENT</t>
  </si>
  <si>
    <t>Water:</t>
  </si>
  <si>
    <t>Waste Water:</t>
  </si>
  <si>
    <t>Replacement Bleach Pumps</t>
  </si>
  <si>
    <t>Disk Filter Clothe replacement (FR)</t>
  </si>
  <si>
    <t>Disk Filter Clothe replacement (SR)</t>
  </si>
  <si>
    <t>Inspections:</t>
  </si>
  <si>
    <t>Plan Digitization</t>
  </si>
  <si>
    <t>IT:</t>
  </si>
  <si>
    <t>SCADA Radio Network</t>
  </si>
  <si>
    <t>Fluke 754 Process Calibrator</t>
  </si>
  <si>
    <t>Collections:</t>
  </si>
  <si>
    <t>(3) Wet Well Wizards</t>
  </si>
  <si>
    <t>Compliance:</t>
  </si>
  <si>
    <t>BackFlow WorkShop</t>
  </si>
  <si>
    <t>Grease trap inspection camera</t>
  </si>
  <si>
    <t>To be shared with Collections Dept</t>
  </si>
  <si>
    <t>Admin:</t>
  </si>
  <si>
    <t>Permits Software Solution</t>
  </si>
  <si>
    <t>A/C Replacement and/or Rehabilitation</t>
  </si>
  <si>
    <t>DISTRICT LONGTERM  PURCHASE/REHABILITAION OF FACILITIES/EQUIPMENT</t>
  </si>
  <si>
    <t>Capital Outlay Items:</t>
  </si>
  <si>
    <t>Small/Medium trucks - 5 per year at 27,000 each (hiring dependant - see vehicle replacement plan)</t>
  </si>
  <si>
    <t>Specialty Vehicle - Crane Truck, Heavy Duty Truck, Mini Dump Etc</t>
  </si>
  <si>
    <t>Crane Truck</t>
  </si>
  <si>
    <t>Mechanic Duty Vehicle - 1 every year for next 3 years</t>
  </si>
  <si>
    <t>4 per year $12,500 each</t>
  </si>
  <si>
    <t>Department Capital Expense:</t>
  </si>
  <si>
    <t>Total Capital Expense:</t>
  </si>
  <si>
    <t xml:space="preserve">District General Fund and O&amp;M Tax  - Cash Flow    </t>
  </si>
  <si>
    <t>Receipts- Capital Projects - Water Impact Fees</t>
  </si>
  <si>
    <t>Receipts- Capital Projects - WW Impact Fees</t>
  </si>
  <si>
    <t>Receipts - Bond Proceeds</t>
  </si>
  <si>
    <t>Expense - Projects (See - District Project Summary)</t>
  </si>
  <si>
    <t>Expense - Projects (See - Purchase and Reb of existing Facilities)</t>
  </si>
  <si>
    <t>* Assumed 5% FY19-FY20, Assume3.5% increase FY21-FY28 (District Tax rate of $0.0599/$100 valuation and SH Tax Rate of $0.1432/$100 valuation)</t>
  </si>
  <si>
    <t>CAPITAL IMPROVEMENT PROJECT FINANCIAL PROJECTIONS</t>
  </si>
  <si>
    <t>Funding Stream</t>
  </si>
  <si>
    <t>6/21 Cost Estimate</t>
  </si>
  <si>
    <t>Rates/Fees/Reserves</t>
  </si>
  <si>
    <t>Impact/Reserves</t>
  </si>
  <si>
    <t>Steiner Ranch DA Waste Water Projects:</t>
  </si>
  <si>
    <t>Headworks Improvements</t>
  </si>
  <si>
    <t>Complete</t>
  </si>
  <si>
    <t>FY2020</t>
  </si>
  <si>
    <t>Effluent Line 2A +2c and Fill Control Valve</t>
  </si>
  <si>
    <t>AS Construction Fund/ODF</t>
  </si>
  <si>
    <t>Red Fox 1 - See Water Line Replacement Plan 2018</t>
  </si>
  <si>
    <t>RR Construction Fund/ODF</t>
  </si>
  <si>
    <t>See Water Line replacement plan 2018</t>
  </si>
  <si>
    <t>Pump Truck at $200,000</t>
  </si>
  <si>
    <t>Construction Vehicle - 1 every 5 years at $100,000</t>
  </si>
  <si>
    <t>Annual Total:</t>
  </si>
  <si>
    <t>$4,500,000 project (Monies to set aside until FY 2029)</t>
  </si>
  <si>
    <t xml:space="preserve">Land Aquistion </t>
  </si>
  <si>
    <t>LCRA Tract adjacent to MWTP - 16 acres (4 of which we have an easement over)</t>
  </si>
  <si>
    <t>FY 2021 Comprehensive Budget Fund Summary</t>
  </si>
  <si>
    <t>DISTRICT CAPITAL UPKEEP OF FACILITIES/EQUIPMENT</t>
  </si>
  <si>
    <t>General Fund- Reserve</t>
  </si>
  <si>
    <t>Total all Expenses:</t>
  </si>
  <si>
    <t xml:space="preserve">*Current Available Bank balance </t>
  </si>
  <si>
    <t>Revenues +</t>
  </si>
  <si>
    <t>Expenses -</t>
  </si>
  <si>
    <t>Other Sources +</t>
  </si>
  <si>
    <t>Other Uses -</t>
  </si>
  <si>
    <t>Steiner Ranch D.A. Unlimited Tax Refunding Bonds, Series 2020-Pend</t>
  </si>
  <si>
    <r>
      <t>Operating Surplus/</t>
    </r>
    <r>
      <rPr>
        <sz val="10"/>
        <color rgb="FFFF0000"/>
        <rFont val="Arial"/>
        <family val="2"/>
      </rPr>
      <t>(Deficit)</t>
    </r>
  </si>
  <si>
    <t>YTD</t>
  </si>
  <si>
    <t>Annual</t>
  </si>
  <si>
    <t>Actual</t>
  </si>
  <si>
    <t>Variance</t>
  </si>
  <si>
    <t>REVENUES:</t>
  </si>
  <si>
    <t>Water</t>
  </si>
  <si>
    <t>Wastewater - Steiner Ranch</t>
  </si>
  <si>
    <t>Wastewater - Flintrock</t>
  </si>
  <si>
    <t>Wastewater - Comanche</t>
  </si>
  <si>
    <t>Wastewater - WTCPUA (Falconhead West)</t>
  </si>
  <si>
    <t>Wastewater - LMUD ( North Lakeway Village)</t>
  </si>
  <si>
    <t>Wastewater - Commander's Point</t>
  </si>
  <si>
    <t>Raw Water/Reclaimed</t>
  </si>
  <si>
    <t>Solid Waste &amp; Recycling Service</t>
  </si>
  <si>
    <t>Penalties</t>
  </si>
  <si>
    <t>Other</t>
  </si>
  <si>
    <t>TOTAL REVENUES</t>
  </si>
  <si>
    <t>EXPENSES:</t>
  </si>
  <si>
    <t>Maintenance Department</t>
  </si>
  <si>
    <t>Salaries</t>
  </si>
  <si>
    <t>Professional Services</t>
  </si>
  <si>
    <t>Admin: Maintenance &amp; Supplies</t>
  </si>
  <si>
    <t xml:space="preserve">  Other Sources:</t>
  </si>
  <si>
    <t>O&amp;M Serene Hills DA Tax Fund - CY Collections</t>
  </si>
  <si>
    <t>O&amp;M Tax Funds - Current Year Collections</t>
  </si>
  <si>
    <t>O&amp;M Tax Funds - PY Collect. (FY2019-Unassigned Reserves)</t>
  </si>
  <si>
    <t>General Fund - Unassigned Reserves</t>
  </si>
  <si>
    <t>General Fund - FY 2019 Surplus</t>
  </si>
  <si>
    <t>Apache Shores Construction Fund</t>
  </si>
  <si>
    <t>Apache Shores Operating Fund</t>
  </si>
  <si>
    <t xml:space="preserve">  Other Uses:</t>
  </si>
  <si>
    <t>General Fund - Assigned - Capital TXDOT RR620 WL Reserve</t>
  </si>
  <si>
    <t>General Fund - Assigned - Capital Meter Upgrade Reserve</t>
  </si>
  <si>
    <t>Capital Fund - Assigned from General Fund Surplus as Reserves</t>
  </si>
  <si>
    <t>Capital Fund - Per Capital Project Fund Expenditure</t>
  </si>
  <si>
    <t>Budget 2021</t>
  </si>
  <si>
    <t>FY 19 Actual</t>
  </si>
  <si>
    <t>Anticipated Capital Rehabillitatin Expense Projections:</t>
  </si>
  <si>
    <t>SCADA Integration/Update</t>
  </si>
  <si>
    <t>Small/Medium trucks - 5 per year at 27,000 each (hiring dependent - see vehicle replacement plan)</t>
  </si>
  <si>
    <t>Specialty Vehicle - Crane Truck, Heavy Duty Truck, Mini Dump Etc.</t>
  </si>
  <si>
    <t>Anticipated Capital Upkeep Expense Projections:</t>
  </si>
  <si>
    <t>Capital Projects Fund-Construction Steiner Ranch WW</t>
  </si>
  <si>
    <t>Rates/TXDOT Fee Reserves</t>
  </si>
  <si>
    <t>TXDOT Relocation Expansion - Round Mountain Water Main</t>
  </si>
  <si>
    <t>Eck Lane and Mansfield Water Treatment Plant Improv</t>
  </si>
  <si>
    <t>TXDOT Relocation Expansion - Phase I</t>
  </si>
  <si>
    <t>TXDOT Relocation Expansion - Phase III</t>
  </si>
  <si>
    <t>TXDOT Relocation Expansion - Phase II</t>
  </si>
  <si>
    <t>Security Camera Upgrade</t>
  </si>
  <si>
    <t>09/22/2020</t>
  </si>
  <si>
    <t>Eck WTP A/C Replacement and/or Rehabilitation</t>
  </si>
  <si>
    <t>ADOPTED</t>
  </si>
  <si>
    <t>WW - Steiner Ranch</t>
  </si>
  <si>
    <t>WW - Flintrock</t>
  </si>
  <si>
    <t xml:space="preserve">WW - Comanche </t>
  </si>
  <si>
    <t>WW - WTCPUA (Falconhead West)</t>
  </si>
  <si>
    <t>WW - LMUD - ( NLWV)</t>
  </si>
  <si>
    <t>WW - Commander's Point</t>
  </si>
  <si>
    <t>Solid Waste Service</t>
  </si>
  <si>
    <t>WW - Steiner</t>
  </si>
  <si>
    <t>WW - Comanche Canyon</t>
  </si>
  <si>
    <t>WW - LMUD (North Lakeway Village)</t>
  </si>
  <si>
    <t>Raw Water/Reclaim</t>
  </si>
  <si>
    <t>Solid Waste Service - Progressive</t>
  </si>
  <si>
    <t>Employee Salaries &amp; Benefits</t>
  </si>
  <si>
    <t>Professional Svc</t>
  </si>
  <si>
    <t>Other Sources:</t>
  </si>
  <si>
    <t>From O&amp;M Tax Fund CY Collections</t>
  </si>
  <si>
    <t>From O&amp;M Tax Fund -Reserve</t>
  </si>
  <si>
    <t>From Apache Shores Reserve</t>
  </si>
  <si>
    <t>From River Ridge Reserve</t>
  </si>
  <si>
    <t>Other Uses:</t>
  </si>
  <si>
    <t>Fund Assigned - Construction</t>
  </si>
  <si>
    <t>Fund Balance - Unassigned</t>
  </si>
  <si>
    <t>Fund Balance - Assigned - Water Treatment Plant 2</t>
  </si>
  <si>
    <t>Apache Shores Fund - Construction</t>
  </si>
  <si>
    <t>River Ridge Fund - Construction</t>
  </si>
  <si>
    <t>Travis County WCID #17</t>
  </si>
  <si>
    <t>FY 2021 Mid-Year Budget Amendment 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</si>
</sst>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[$-409]mmmm\ d\,\ yyyy;@"/>
    <numFmt numFmtId="168" formatCode="0.0%"/>
    <numFmt numFmtId="169" formatCode="_(&quot;$&quot;* #,##0.00_);_(&quot;$&quot;* \(#,##0.00\);_(&quot;$&quot;* &quot;-&quot;_);_(@_)"/>
    <numFmt numFmtId="170" formatCode="[$-409]mmm\-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u/>
      <sz val="10"/>
      <name val="Arial"/>
      <family val="2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.85"/>
      <color rgb="FF00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Alignment="0"/>
    <xf numFmtId="0" fontId="14" fillId="0" borderId="0"/>
    <xf numFmtId="0" fontId="29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Alignment="0"/>
  </cellStyleXfs>
  <cellXfs count="454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0" fillId="0" borderId="2" xfId="1" applyNumberFormat="1" applyFont="1" applyBorder="1"/>
    <xf numFmtId="0" fontId="3" fillId="0" borderId="0" xfId="0" applyFont="1"/>
    <xf numFmtId="165" fontId="0" fillId="0" borderId="0" xfId="1" applyNumberFormat="1" applyFont="1" applyFill="1"/>
    <xf numFmtId="0" fontId="0" fillId="0" borderId="0" xfId="0" applyFill="1"/>
    <xf numFmtId="0" fontId="0" fillId="2" borderId="0" xfId="0" applyFill="1"/>
    <xf numFmtId="5" fontId="0" fillId="0" borderId="0" xfId="1" applyNumberFormat="1" applyFont="1"/>
    <xf numFmtId="164" fontId="0" fillId="0" borderId="3" xfId="1" applyNumberFormat="1" applyFont="1" applyFill="1" applyBorder="1"/>
    <xf numFmtId="165" fontId="0" fillId="0" borderId="0" xfId="0" applyNumberFormat="1" applyFill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/>
    <xf numFmtId="44" fontId="5" fillId="0" borderId="3" xfId="2" applyFont="1" applyBorder="1"/>
    <xf numFmtId="164" fontId="0" fillId="0" borderId="3" xfId="2" applyNumberFormat="1" applyFont="1" applyFill="1" applyBorder="1"/>
    <xf numFmtId="164" fontId="0" fillId="0" borderId="3" xfId="2" applyNumberFormat="1" applyFont="1" applyBorder="1"/>
    <xf numFmtId="164" fontId="0" fillId="0" borderId="3" xfId="1" applyNumberFormat="1" applyFont="1" applyBorder="1"/>
    <xf numFmtId="0" fontId="6" fillId="3" borderId="3" xfId="0" applyFont="1" applyFill="1" applyBorder="1"/>
    <xf numFmtId="44" fontId="6" fillId="0" borderId="3" xfId="2" applyFont="1" applyFill="1" applyBorder="1"/>
    <xf numFmtId="44" fontId="5" fillId="0" borderId="3" xfId="2" applyFont="1" applyFill="1" applyBorder="1"/>
    <xf numFmtId="44" fontId="6" fillId="0" borderId="3" xfId="2" applyFont="1" applyBorder="1"/>
    <xf numFmtId="0" fontId="7" fillId="3" borderId="3" xfId="0" applyFont="1" applyFill="1" applyBorder="1"/>
    <xf numFmtId="49" fontId="7" fillId="3" borderId="3" xfId="0" applyNumberFormat="1" applyFont="1" applyFill="1" applyBorder="1"/>
    <xf numFmtId="164" fontId="0" fillId="0" borderId="0" xfId="1" applyNumberFormat="1" applyFont="1" applyBorder="1"/>
    <xf numFmtId="0" fontId="6" fillId="3" borderId="0" xfId="0" applyFont="1" applyFill="1" applyBorder="1"/>
    <xf numFmtId="0" fontId="8" fillId="3" borderId="3" xfId="0" applyFont="1" applyFill="1" applyBorder="1"/>
    <xf numFmtId="164" fontId="0" fillId="4" borderId="3" xfId="1" applyNumberFormat="1" applyFont="1" applyFill="1" applyBorder="1"/>
    <xf numFmtId="44" fontId="5" fillId="0" borderId="0" xfId="2" applyFont="1" applyFill="1"/>
    <xf numFmtId="44" fontId="5" fillId="0" borderId="0" xfId="2" applyFont="1"/>
    <xf numFmtId="0" fontId="6" fillId="3" borderId="0" xfId="0" applyFont="1" applyFill="1"/>
    <xf numFmtId="0" fontId="8" fillId="0" borderId="3" xfId="0" applyFont="1" applyFill="1" applyBorder="1"/>
    <xf numFmtId="164" fontId="0" fillId="2" borderId="3" xfId="2" applyNumberFormat="1" applyFont="1" applyFill="1" applyBorder="1"/>
    <xf numFmtId="165" fontId="0" fillId="0" borderId="0" xfId="2" applyNumberFormat="1" applyFont="1"/>
    <xf numFmtId="165" fontId="0" fillId="0" borderId="0" xfId="2" applyNumberFormat="1" applyFont="1" applyBorder="1"/>
    <xf numFmtId="165" fontId="0" fillId="0" borderId="0" xfId="0" applyNumberFormat="1"/>
    <xf numFmtId="165" fontId="0" fillId="0" borderId="0" xfId="2" applyNumberFormat="1" applyFont="1" applyFill="1"/>
    <xf numFmtId="0" fontId="0" fillId="0" borderId="0" xfId="0" applyBorder="1"/>
    <xf numFmtId="0" fontId="0" fillId="5" borderId="4" xfId="0" applyFill="1" applyBorder="1"/>
    <xf numFmtId="0" fontId="0" fillId="0" borderId="4" xfId="0" applyBorder="1"/>
    <xf numFmtId="0" fontId="0" fillId="0" borderId="5" xfId="0" applyBorder="1"/>
    <xf numFmtId="164" fontId="0" fillId="0" borderId="1" xfId="2" applyNumberFormat="1" applyFont="1" applyFill="1" applyBorder="1"/>
    <xf numFmtId="44" fontId="0" fillId="0" borderId="1" xfId="2" applyNumberFormat="1" applyFont="1" applyFill="1" applyBorder="1"/>
    <xf numFmtId="0" fontId="0" fillId="6" borderId="0" xfId="0" applyFill="1"/>
    <xf numFmtId="165" fontId="0" fillId="6" borderId="0" xfId="2" applyNumberFormat="1" applyFont="1" applyFill="1"/>
    <xf numFmtId="0" fontId="9" fillId="0" borderId="0" xfId="0" applyFont="1"/>
    <xf numFmtId="0" fontId="2" fillId="0" borderId="0" xfId="0" applyFont="1"/>
    <xf numFmtId="0" fontId="0" fillId="6" borderId="6" xfId="0" applyFill="1" applyBorder="1"/>
    <xf numFmtId="0" fontId="0" fillId="4" borderId="6" xfId="0" applyFill="1" applyBorder="1"/>
    <xf numFmtId="0" fontId="0" fillId="7" borderId="6" xfId="0" applyFill="1" applyBorder="1"/>
    <xf numFmtId="0" fontId="0" fillId="8" borderId="6" xfId="0" applyFill="1" applyBorder="1"/>
    <xf numFmtId="44" fontId="0" fillId="9" borderId="6" xfId="0" applyNumberFormat="1" applyFill="1" applyBorder="1" applyAlignment="1"/>
    <xf numFmtId="0" fontId="0" fillId="0" borderId="0" xfId="0" applyAlignment="1"/>
    <xf numFmtId="0" fontId="0" fillId="10" borderId="6" xfId="0" applyFill="1" applyBorder="1"/>
    <xf numFmtId="166" fontId="0" fillId="7" borderId="6" xfId="0" applyNumberFormat="1" applyFill="1" applyBorder="1"/>
    <xf numFmtId="166" fontId="0" fillId="11" borderId="6" xfId="0" applyNumberFormat="1" applyFill="1" applyBorder="1"/>
    <xf numFmtId="166" fontId="0" fillId="12" borderId="6" xfId="0" applyNumberFormat="1" applyFill="1" applyBorder="1"/>
    <xf numFmtId="166" fontId="0" fillId="13" borderId="6" xfId="0" applyNumberFormat="1" applyFill="1" applyBorder="1"/>
    <xf numFmtId="0" fontId="10" fillId="0" borderId="0" xfId="0" applyFont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44" fontId="10" fillId="9" borderId="6" xfId="0" applyNumberFormat="1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66" fontId="10" fillId="11" borderId="6" xfId="0" applyNumberFormat="1" applyFont="1" applyFill="1" applyBorder="1" applyAlignment="1">
      <alignment horizontal="center" vertical="center"/>
    </xf>
    <xf numFmtId="166" fontId="10" fillId="12" borderId="6" xfId="0" applyNumberFormat="1" applyFont="1" applyFill="1" applyBorder="1" applyAlignment="1">
      <alignment horizontal="center" vertical="center"/>
    </xf>
    <xf numFmtId="166" fontId="10" fillId="13" borderId="6" xfId="0" applyNumberFormat="1" applyFont="1" applyFill="1" applyBorder="1" applyAlignment="1">
      <alignment horizontal="center" vertical="center"/>
    </xf>
    <xf numFmtId="0" fontId="2" fillId="6" borderId="6" xfId="0" applyFont="1" applyFill="1" applyBorder="1"/>
    <xf numFmtId="0" fontId="2" fillId="4" borderId="6" xfId="0" applyFont="1" applyFill="1" applyBorder="1"/>
    <xf numFmtId="0" fontId="2" fillId="7" borderId="6" xfId="0" applyFont="1" applyFill="1" applyBorder="1"/>
    <xf numFmtId="0" fontId="2" fillId="8" borderId="6" xfId="0" applyFont="1" applyFill="1" applyBorder="1"/>
    <xf numFmtId="0" fontId="2" fillId="10" borderId="6" xfId="0" applyFont="1" applyFill="1" applyBorder="1"/>
    <xf numFmtId="166" fontId="2" fillId="7" borderId="6" xfId="0" applyNumberFormat="1" applyFont="1" applyFill="1" applyBorder="1"/>
    <xf numFmtId="166" fontId="2" fillId="11" borderId="6" xfId="0" applyNumberFormat="1" applyFont="1" applyFill="1" applyBorder="1"/>
    <xf numFmtId="166" fontId="2" fillId="12" borderId="6" xfId="0" applyNumberFormat="1" applyFont="1" applyFill="1" applyBorder="1"/>
    <xf numFmtId="166" fontId="2" fillId="13" borderId="6" xfId="0" applyNumberFormat="1" applyFont="1" applyFill="1" applyBorder="1"/>
    <xf numFmtId="166" fontId="0" fillId="6" borderId="3" xfId="0" applyNumberFormat="1" applyFill="1" applyBorder="1"/>
    <xf numFmtId="166" fontId="0" fillId="4" borderId="3" xfId="0" applyNumberFormat="1" applyFill="1" applyBorder="1"/>
    <xf numFmtId="166" fontId="0" fillId="7" borderId="3" xfId="0" applyNumberFormat="1" applyFill="1" applyBorder="1"/>
    <xf numFmtId="166" fontId="0" fillId="8" borderId="3" xfId="0" applyNumberFormat="1" applyFill="1" applyBorder="1"/>
    <xf numFmtId="0" fontId="0" fillId="3" borderId="5" xfId="0" applyFill="1" applyBorder="1"/>
    <xf numFmtId="44" fontId="0" fillId="9" borderId="3" xfId="0" applyNumberFormat="1" applyFill="1" applyBorder="1" applyAlignment="1"/>
    <xf numFmtId="166" fontId="0" fillId="3" borderId="3" xfId="0" applyNumberFormat="1" applyFill="1" applyBorder="1" applyAlignment="1"/>
    <xf numFmtId="166" fontId="0" fillId="10" borderId="3" xfId="0" applyNumberFormat="1" applyFill="1" applyBorder="1"/>
    <xf numFmtId="166" fontId="0" fillId="11" borderId="3" xfId="0" applyNumberFormat="1" applyFill="1" applyBorder="1"/>
    <xf numFmtId="0" fontId="0" fillId="3" borderId="0" xfId="0" applyFill="1"/>
    <xf numFmtId="166" fontId="0" fillId="12" borderId="3" xfId="0" applyNumberFormat="1" applyFill="1" applyBorder="1"/>
    <xf numFmtId="166" fontId="0" fillId="13" borderId="3" xfId="0" applyNumberFormat="1" applyFill="1" applyBorder="1"/>
    <xf numFmtId="166" fontId="0" fillId="5" borderId="5" xfId="0" applyNumberFormat="1" applyFill="1" applyBorder="1"/>
    <xf numFmtId="0" fontId="0" fillId="5" borderId="5" xfId="0" applyFill="1" applyBorder="1"/>
    <xf numFmtId="166" fontId="0" fillId="5" borderId="3" xfId="0" applyNumberFormat="1" applyFill="1" applyBorder="1" applyAlignment="1"/>
    <xf numFmtId="0" fontId="0" fillId="5" borderId="0" xfId="0" applyFill="1"/>
    <xf numFmtId="166" fontId="0" fillId="0" borderId="5" xfId="0" applyNumberFormat="1" applyBorder="1"/>
    <xf numFmtId="166" fontId="0" fillId="0" borderId="7" xfId="0" applyNumberFormat="1" applyBorder="1" applyAlignment="1"/>
    <xf numFmtId="166" fontId="0" fillId="0" borderId="0" xfId="0" applyNumberFormat="1" applyBorder="1"/>
    <xf numFmtId="44" fontId="0" fillId="9" borderId="3" xfId="0" applyNumberFormat="1" applyFill="1" applyBorder="1"/>
    <xf numFmtId="166" fontId="0" fillId="6" borderId="6" xfId="0" applyNumberFormat="1" applyFill="1" applyBorder="1"/>
    <xf numFmtId="166" fontId="0" fillId="4" borderId="6" xfId="0" applyNumberFormat="1" applyFill="1" applyBorder="1"/>
    <xf numFmtId="166" fontId="0" fillId="8" borderId="6" xfId="0" applyNumberFormat="1" applyFill="1" applyBorder="1"/>
    <xf numFmtId="44" fontId="0" fillId="9" borderId="6" xfId="0" applyNumberFormat="1" applyFill="1" applyBorder="1"/>
    <xf numFmtId="166" fontId="0" fillId="10" borderId="6" xfId="0" applyNumberFormat="1" applyFill="1" applyBorder="1"/>
    <xf numFmtId="166" fontId="0" fillId="0" borderId="0" xfId="0" applyNumberFormat="1"/>
    <xf numFmtId="166" fontId="0" fillId="0" borderId="4" xfId="0" applyNumberFormat="1" applyBorder="1" applyAlignment="1"/>
    <xf numFmtId="4" fontId="0" fillId="6" borderId="6" xfId="0" applyNumberFormat="1" applyFill="1" applyBorder="1"/>
    <xf numFmtId="4" fontId="0" fillId="0" borderId="0" xfId="0" applyNumberFormat="1"/>
    <xf numFmtId="4" fontId="0" fillId="4" borderId="6" xfId="0" applyNumberFormat="1" applyFill="1" applyBorder="1"/>
    <xf numFmtId="4" fontId="0" fillId="7" borderId="6" xfId="0" applyNumberFormat="1" applyFill="1" applyBorder="1"/>
    <xf numFmtId="4" fontId="0" fillId="8" borderId="6" xfId="0" applyNumberFormat="1" applyFill="1" applyBorder="1"/>
    <xf numFmtId="0" fontId="9" fillId="0" borderId="5" xfId="0" applyFont="1" applyBorder="1" applyAlignment="1">
      <alignment horizontal="center" vertical="center"/>
    </xf>
    <xf numFmtId="166" fontId="9" fillId="6" borderId="3" xfId="0" applyNumberFormat="1" applyFont="1" applyFill="1" applyBorder="1"/>
    <xf numFmtId="166" fontId="9" fillId="4" borderId="3" xfId="0" applyNumberFormat="1" applyFont="1" applyFill="1" applyBorder="1"/>
    <xf numFmtId="166" fontId="9" fillId="7" borderId="3" xfId="0" applyNumberFormat="1" applyFont="1" applyFill="1" applyBorder="1"/>
    <xf numFmtId="166" fontId="9" fillId="8" borderId="3" xfId="0" applyNumberFormat="1" applyFont="1" applyFill="1" applyBorder="1"/>
    <xf numFmtId="0" fontId="9" fillId="0" borderId="5" xfId="0" applyFont="1" applyBorder="1"/>
    <xf numFmtId="166" fontId="9" fillId="10" borderId="3" xfId="0" applyNumberFormat="1" applyFont="1" applyFill="1" applyBorder="1"/>
    <xf numFmtId="166" fontId="9" fillId="0" borderId="5" xfId="0" applyNumberFormat="1" applyFont="1" applyBorder="1"/>
    <xf numFmtId="166" fontId="9" fillId="11" borderId="3" xfId="0" applyNumberFormat="1" applyFont="1" applyFill="1" applyBorder="1"/>
    <xf numFmtId="166" fontId="9" fillId="12" borderId="3" xfId="0" applyNumberFormat="1" applyFont="1" applyFill="1" applyBorder="1"/>
    <xf numFmtId="166" fontId="9" fillId="13" borderId="3" xfId="0" applyNumberFormat="1" applyFont="1" applyFill="1" applyBorder="1"/>
    <xf numFmtId="4" fontId="0" fillId="6" borderId="3" xfId="0" applyNumberFormat="1" applyFill="1" applyBorder="1"/>
    <xf numFmtId="4" fontId="0" fillId="0" borderId="5" xfId="0" applyNumberFormat="1" applyBorder="1"/>
    <xf numFmtId="4" fontId="0" fillId="4" borderId="3" xfId="0" applyNumberFormat="1" applyFill="1" applyBorder="1"/>
    <xf numFmtId="4" fontId="0" fillId="7" borderId="3" xfId="0" applyNumberFormat="1" applyFill="1" applyBorder="1"/>
    <xf numFmtId="4" fontId="0" fillId="8" borderId="3" xfId="0" applyNumberFormat="1" applyFill="1" applyBorder="1"/>
    <xf numFmtId="166" fontId="9" fillId="0" borderId="5" xfId="0" applyNumberFormat="1" applyFont="1" applyBorder="1" applyAlignment="1">
      <alignment horizontal="center" vertical="center"/>
    </xf>
    <xf numFmtId="0" fontId="9" fillId="6" borderId="6" xfId="0" applyFont="1" applyFill="1" applyBorder="1"/>
    <xf numFmtId="0" fontId="9" fillId="4" borderId="6" xfId="0" applyFont="1" applyFill="1" applyBorder="1"/>
    <xf numFmtId="0" fontId="9" fillId="7" borderId="6" xfId="0" applyFont="1" applyFill="1" applyBorder="1"/>
    <xf numFmtId="0" fontId="9" fillId="8" borderId="6" xfId="0" applyFont="1" applyFill="1" applyBorder="1"/>
    <xf numFmtId="44" fontId="9" fillId="9" borderId="6" xfId="0" applyNumberFormat="1" applyFont="1" applyFill="1" applyBorder="1"/>
    <xf numFmtId="0" fontId="9" fillId="10" borderId="6" xfId="0" applyFont="1" applyFill="1" applyBorder="1"/>
    <xf numFmtId="166" fontId="9" fillId="7" borderId="6" xfId="0" applyNumberFormat="1" applyFont="1" applyFill="1" applyBorder="1"/>
    <xf numFmtId="166" fontId="9" fillId="11" borderId="6" xfId="0" applyNumberFormat="1" applyFont="1" applyFill="1" applyBorder="1"/>
    <xf numFmtId="166" fontId="9" fillId="12" borderId="6" xfId="0" applyNumberFormat="1" applyFont="1" applyFill="1" applyBorder="1"/>
    <xf numFmtId="166" fontId="9" fillId="13" borderId="6" xfId="0" applyNumberFormat="1" applyFont="1" applyFill="1" applyBorder="1"/>
    <xf numFmtId="166" fontId="0" fillId="0" borderId="3" xfId="0" applyNumberFormat="1" applyBorder="1"/>
    <xf numFmtId="4" fontId="0" fillId="0" borderId="3" xfId="0" applyNumberFormat="1" applyBorder="1"/>
    <xf numFmtId="166" fontId="0" fillId="0" borderId="3" xfId="0" applyNumberFormat="1" applyBorder="1" applyAlignment="1"/>
    <xf numFmtId="0" fontId="2" fillId="0" borderId="3" xfId="0" applyFont="1" applyBorder="1"/>
    <xf numFmtId="166" fontId="0" fillId="14" borderId="3" xfId="0" applyNumberFormat="1" applyFill="1" applyBorder="1"/>
    <xf numFmtId="165" fontId="0" fillId="11" borderId="0" xfId="2" applyNumberFormat="1" applyFont="1" applyFill="1"/>
    <xf numFmtId="0" fontId="0" fillId="11" borderId="0" xfId="0" applyFill="1"/>
    <xf numFmtId="0" fontId="0" fillId="11" borderId="0" xfId="0" applyFill="1" applyBorder="1"/>
    <xf numFmtId="0" fontId="0" fillId="13" borderId="0" xfId="0" applyFill="1"/>
    <xf numFmtId="165" fontId="0" fillId="13" borderId="0" xfId="2" applyNumberFormat="1" applyFont="1" applyFill="1"/>
    <xf numFmtId="165" fontId="0" fillId="15" borderId="0" xfId="2" applyNumberFormat="1" applyFont="1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2" fillId="0" borderId="0" xfId="0" applyFont="1" applyAlignment="1">
      <alignment horizontal="center" vertical="center"/>
    </xf>
    <xf numFmtId="165" fontId="0" fillId="6" borderId="0" xfId="0" applyNumberFormat="1" applyFill="1"/>
    <xf numFmtId="165" fontId="0" fillId="11" borderId="0" xfId="2" applyNumberFormat="1" applyFont="1" applyFill="1" applyBorder="1"/>
    <xf numFmtId="0" fontId="11" fillId="0" borderId="0" xfId="0" applyFont="1"/>
    <xf numFmtId="0" fontId="0" fillId="2" borderId="1" xfId="0" applyFill="1" applyBorder="1"/>
    <xf numFmtId="165" fontId="0" fillId="11" borderId="0" xfId="0" applyNumberFormat="1" applyFill="1"/>
    <xf numFmtId="165" fontId="0" fillId="0" borderId="2" xfId="0" applyNumberFormat="1" applyBorder="1"/>
    <xf numFmtId="4" fontId="0" fillId="0" borderId="5" xfId="0" applyNumberFormat="1" applyFill="1" applyBorder="1"/>
    <xf numFmtId="0" fontId="0" fillId="0" borderId="4" xfId="0" applyFill="1" applyBorder="1"/>
    <xf numFmtId="0" fontId="0" fillId="0" borderId="5" xfId="0" applyFill="1" applyBorder="1"/>
    <xf numFmtId="166" fontId="0" fillId="0" borderId="3" xfId="0" applyNumberFormat="1" applyFill="1" applyBorder="1"/>
    <xf numFmtId="0" fontId="0" fillId="0" borderId="3" xfId="0" applyFill="1" applyBorder="1"/>
    <xf numFmtId="0" fontId="0" fillId="3" borderId="3" xfId="0" applyFill="1" applyBorder="1"/>
    <xf numFmtId="166" fontId="0" fillId="5" borderId="3" xfId="0" applyNumberFormat="1" applyFill="1" applyBorder="1"/>
    <xf numFmtId="0" fontId="0" fillId="5" borderId="3" xfId="0" applyFill="1" applyBorder="1"/>
    <xf numFmtId="166" fontId="0" fillId="5" borderId="9" xfId="0" applyNumberFormat="1" applyFill="1" applyBorder="1" applyAlignment="1"/>
    <xf numFmtId="4" fontId="0" fillId="0" borderId="3" xfId="0" applyNumberFormat="1" applyFill="1" applyBorder="1"/>
    <xf numFmtId="165" fontId="0" fillId="0" borderId="1" xfId="1" applyNumberFormat="1" applyFont="1" applyBorder="1"/>
    <xf numFmtId="165" fontId="0" fillId="0" borderId="0" xfId="2" applyNumberFormat="1" applyFont="1" applyFill="1" applyBorder="1"/>
    <xf numFmtId="0" fontId="12" fillId="3" borderId="3" xfId="0" applyFont="1" applyFill="1" applyBorder="1"/>
    <xf numFmtId="0" fontId="6" fillId="4" borderId="0" xfId="0" applyFont="1" applyFill="1"/>
    <xf numFmtId="0" fontId="13" fillId="0" borderId="0" xfId="0" applyFont="1"/>
    <xf numFmtId="167" fontId="0" fillId="0" borderId="0" xfId="0" applyNumberFormat="1"/>
    <xf numFmtId="0" fontId="0" fillId="0" borderId="11" xfId="0" applyBorder="1"/>
    <xf numFmtId="0" fontId="15" fillId="0" borderId="0" xfId="0" applyFont="1" applyFill="1" applyBorder="1"/>
    <xf numFmtId="164" fontId="14" fillId="0" borderId="0" xfId="2" applyNumberFormat="1" applyFont="1" applyFill="1"/>
    <xf numFmtId="0" fontId="16" fillId="0" borderId="0" xfId="0" applyFont="1" applyFill="1" applyBorder="1"/>
    <xf numFmtId="164" fontId="14" fillId="0" borderId="0" xfId="2" applyNumberFormat="1" applyFont="1" applyFill="1" applyBorder="1"/>
    <xf numFmtId="0" fontId="15" fillId="0" borderId="3" xfId="0" applyFont="1" applyFill="1" applyBorder="1"/>
    <xf numFmtId="164" fontId="14" fillId="0" borderId="3" xfId="2" applyNumberFormat="1" applyFont="1" applyFill="1" applyBorder="1"/>
    <xf numFmtId="0" fontId="14" fillId="0" borderId="3" xfId="0" applyFont="1" applyFill="1" applyBorder="1"/>
    <xf numFmtId="164" fontId="14" fillId="0" borderId="1" xfId="2" applyNumberFormat="1" applyFont="1" applyFill="1" applyBorder="1"/>
    <xf numFmtId="0" fontId="0" fillId="0" borderId="12" xfId="0" applyBorder="1"/>
    <xf numFmtId="0" fontId="18" fillId="0" borderId="7" xfId="0" applyFont="1" applyFill="1" applyBorder="1"/>
    <xf numFmtId="0" fontId="0" fillId="0" borderId="8" xfId="0" applyBorder="1"/>
    <xf numFmtId="0" fontId="15" fillId="0" borderId="7" xfId="0" applyFont="1" applyFill="1" applyBorder="1"/>
    <xf numFmtId="0" fontId="14" fillId="0" borderId="7" xfId="0" applyFont="1" applyFill="1" applyBorder="1"/>
    <xf numFmtId="0" fontId="0" fillId="0" borderId="7" xfId="0" applyBorder="1"/>
    <xf numFmtId="0" fontId="14" fillId="0" borderId="13" xfId="0" applyFont="1" applyFill="1" applyBorder="1"/>
    <xf numFmtId="0" fontId="0" fillId="0" borderId="14" xfId="0" applyBorder="1"/>
    <xf numFmtId="8" fontId="14" fillId="0" borderId="0" xfId="2" applyNumberFormat="1" applyFont="1" applyFill="1" applyBorder="1"/>
    <xf numFmtId="8" fontId="14" fillId="0" borderId="0" xfId="2" applyNumberFormat="1" applyFont="1" applyFill="1"/>
    <xf numFmtId="8" fontId="14" fillId="0" borderId="1" xfId="2" applyNumberFormat="1" applyFont="1" applyFill="1" applyBorder="1"/>
    <xf numFmtId="8" fontId="9" fillId="0" borderId="0" xfId="0" applyNumberFormat="1" applyFont="1" applyBorder="1"/>
    <xf numFmtId="8" fontId="0" fillId="0" borderId="0" xfId="0" applyNumberFormat="1" applyBorder="1"/>
    <xf numFmtId="8" fontId="0" fillId="0" borderId="11" xfId="0" applyNumberFormat="1" applyBorder="1"/>
    <xf numFmtId="8" fontId="0" fillId="0" borderId="0" xfId="0" applyNumberFormat="1"/>
    <xf numFmtId="0" fontId="19" fillId="3" borderId="3" xfId="0" applyFont="1" applyFill="1" applyBorder="1"/>
    <xf numFmtId="44" fontId="20" fillId="0" borderId="3" xfId="2" applyFont="1" applyFill="1" applyBorder="1"/>
    <xf numFmtId="42" fontId="14" fillId="0" borderId="3" xfId="2" applyNumberFormat="1" applyFont="1" applyFill="1" applyBorder="1"/>
    <xf numFmtId="8" fontId="21" fillId="0" borderId="3" xfId="2" applyNumberFormat="1" applyFont="1" applyBorder="1" applyAlignment="1">
      <alignment horizontal="right" wrapText="1"/>
    </xf>
    <xf numFmtId="8" fontId="14" fillId="0" borderId="3" xfId="2" applyNumberFormat="1" applyFont="1" applyFill="1" applyBorder="1"/>
    <xf numFmtId="6" fontId="14" fillId="0" borderId="3" xfId="2" applyNumberFormat="1" applyFont="1" applyFill="1" applyBorder="1"/>
    <xf numFmtId="168" fontId="14" fillId="0" borderId="3" xfId="0" applyNumberFormat="1" applyFont="1" applyFill="1" applyBorder="1"/>
    <xf numFmtId="42" fontId="15" fillId="0" borderId="3" xfId="2" applyNumberFormat="1" applyFont="1" applyFill="1" applyBorder="1"/>
    <xf numFmtId="8" fontId="15" fillId="0" borderId="3" xfId="2" applyNumberFormat="1" applyFont="1" applyFill="1" applyBorder="1"/>
    <xf numFmtId="168" fontId="14" fillId="0" borderId="3" xfId="3" applyNumberFormat="1" applyFont="1" applyBorder="1"/>
    <xf numFmtId="6" fontId="14" fillId="5" borderId="3" xfId="2" applyNumberFormat="1" applyFont="1" applyFill="1" applyBorder="1"/>
    <xf numFmtId="42" fontId="14" fillId="5" borderId="3" xfId="2" applyNumberFormat="1" applyFont="1" applyFill="1" applyBorder="1"/>
    <xf numFmtId="0" fontId="15" fillId="0" borderId="3" xfId="0" applyFont="1" applyFill="1" applyBorder="1" applyAlignment="1">
      <alignment horizontal="right"/>
    </xf>
    <xf numFmtId="42" fontId="15" fillId="18" borderId="3" xfId="2" applyNumberFormat="1" applyFont="1" applyFill="1" applyBorder="1"/>
    <xf numFmtId="42" fontId="22" fillId="0" borderId="3" xfId="2" applyNumberFormat="1" applyFont="1" applyFill="1" applyBorder="1" applyAlignment="1">
      <alignment horizontal="center"/>
    </xf>
    <xf numFmtId="8" fontId="22" fillId="0" borderId="3" xfId="2" applyNumberFormat="1" applyFont="1" applyFill="1" applyBorder="1" applyAlignment="1">
      <alignment horizontal="center"/>
    </xf>
    <xf numFmtId="6" fontId="22" fillId="0" borderId="3" xfId="2" applyNumberFormat="1" applyFont="1" applyFill="1" applyBorder="1" applyAlignment="1">
      <alignment horizontal="center"/>
    </xf>
    <xf numFmtId="168" fontId="22" fillId="0" borderId="3" xfId="0" applyNumberFormat="1" applyFont="1" applyBorder="1" applyAlignment="1">
      <alignment horizontal="center"/>
    </xf>
    <xf numFmtId="42" fontId="23" fillId="0" borderId="3" xfId="2" applyNumberFormat="1" applyFont="1" applyFill="1" applyBorder="1" applyAlignment="1">
      <alignment horizontal="center"/>
    </xf>
    <xf numFmtId="8" fontId="23" fillId="0" borderId="3" xfId="2" applyNumberFormat="1" applyFont="1" applyFill="1" applyBorder="1" applyAlignment="1">
      <alignment horizontal="center"/>
    </xf>
    <xf numFmtId="8" fontId="24" fillId="0" borderId="3" xfId="2" applyNumberFormat="1" applyFont="1" applyFill="1" applyBorder="1" applyAlignment="1">
      <alignment horizontal="center"/>
    </xf>
    <xf numFmtId="6" fontId="23" fillId="0" borderId="3" xfId="2" applyNumberFormat="1" applyFont="1" applyFill="1" applyBorder="1" applyAlignment="1">
      <alignment horizontal="center"/>
    </xf>
    <xf numFmtId="168" fontId="23" fillId="0" borderId="3" xfId="0" applyNumberFormat="1" applyFont="1" applyBorder="1" applyAlignment="1">
      <alignment horizontal="center"/>
    </xf>
    <xf numFmtId="0" fontId="25" fillId="19" borderId="0" xfId="0" applyFont="1" applyFill="1"/>
    <xf numFmtId="44" fontId="0" fillId="2" borderId="0" xfId="2" applyFont="1" applyFill="1"/>
    <xf numFmtId="0" fontId="26" fillId="0" borderId="3" xfId="0" applyFont="1" applyFill="1" applyBorder="1"/>
    <xf numFmtId="164" fontId="21" fillId="0" borderId="3" xfId="2" applyNumberFormat="1" applyFont="1" applyBorder="1" applyAlignment="1">
      <alignment horizontal="right" wrapText="1"/>
    </xf>
    <xf numFmtId="6" fontId="14" fillId="0" borderId="0" xfId="2" applyNumberFormat="1" applyFont="1" applyFill="1" applyBorder="1"/>
    <xf numFmtId="164" fontId="21" fillId="0" borderId="3" xfId="2" applyNumberFormat="1" applyFont="1" applyFill="1" applyBorder="1" applyAlignment="1">
      <alignment horizontal="right" wrapText="1"/>
    </xf>
    <xf numFmtId="164" fontId="21" fillId="5" borderId="3" xfId="2" applyNumberFormat="1" applyFont="1" applyFill="1" applyBorder="1" applyAlignment="1">
      <alignment horizontal="right" wrapText="1"/>
    </xf>
    <xf numFmtId="6" fontId="15" fillId="18" borderId="3" xfId="2" applyNumberFormat="1" applyFont="1" applyFill="1" applyBorder="1"/>
    <xf numFmtId="0" fontId="29" fillId="0" borderId="0" xfId="6"/>
    <xf numFmtId="0" fontId="30" fillId="0" borderId="0" xfId="6" applyFont="1"/>
    <xf numFmtId="0" fontId="31" fillId="0" borderId="0" xfId="6" applyFont="1"/>
    <xf numFmtId="165" fontId="29" fillId="0" borderId="0" xfId="6" applyNumberFormat="1"/>
    <xf numFmtId="0" fontId="14" fillId="0" borderId="0" xfId="6" applyFont="1"/>
    <xf numFmtId="165" fontId="15" fillId="0" borderId="0" xfId="6" applyNumberFormat="1" applyFont="1"/>
    <xf numFmtId="0" fontId="32" fillId="0" borderId="0" xfId="6" applyFont="1" applyBorder="1" applyAlignment="1">
      <alignment horizontal="left" vertical="center"/>
    </xf>
    <xf numFmtId="0" fontId="32" fillId="0" borderId="0" xfId="6" applyFont="1" applyBorder="1" applyAlignment="1">
      <alignment horizontal="center" vertical="center"/>
    </xf>
    <xf numFmtId="0" fontId="34" fillId="0" borderId="0" xfId="6" applyFont="1" applyBorder="1"/>
    <xf numFmtId="0" fontId="35" fillId="0" borderId="0" xfId="6" applyFont="1" applyBorder="1"/>
    <xf numFmtId="165" fontId="35" fillId="0" borderId="0" xfId="6" applyNumberFormat="1" applyFont="1" applyFill="1" applyBorder="1"/>
    <xf numFmtId="0" fontId="14" fillId="0" borderId="0" xfId="6" applyFont="1" applyBorder="1"/>
    <xf numFmtId="165" fontId="14" fillId="0" borderId="0" xfId="6" applyNumberFormat="1" applyFont="1" applyFill="1" applyBorder="1"/>
    <xf numFmtId="165" fontId="14" fillId="0" borderId="0" xfId="6" applyNumberFormat="1" applyFont="1"/>
    <xf numFmtId="0" fontId="2" fillId="20" borderId="0" xfId="0" applyFont="1" applyFill="1" applyAlignment="1">
      <alignment horizontal="center"/>
    </xf>
    <xf numFmtId="165" fontId="0" fillId="20" borderId="0" xfId="2" applyNumberFormat="1" applyFont="1" applyFill="1"/>
    <xf numFmtId="165" fontId="0" fillId="20" borderId="0" xfId="2" applyNumberFormat="1" applyFont="1" applyFill="1" applyBorder="1"/>
    <xf numFmtId="165" fontId="0" fillId="20" borderId="0" xfId="1" applyNumberFormat="1" applyFont="1" applyFill="1"/>
    <xf numFmtId="5" fontId="0" fillId="20" borderId="0" xfId="1" applyNumberFormat="1" applyFont="1" applyFill="1"/>
    <xf numFmtId="165" fontId="0" fillId="20" borderId="2" xfId="1" applyNumberFormat="1" applyFont="1" applyFill="1" applyBorder="1"/>
    <xf numFmtId="166" fontId="0" fillId="0" borderId="5" xfId="0" applyNumberFormat="1" applyFill="1" applyBorder="1"/>
    <xf numFmtId="166" fontId="0" fillId="0" borderId="3" xfId="0" applyNumberFormat="1" applyFill="1" applyBorder="1" applyAlignment="1"/>
    <xf numFmtId="0" fontId="0" fillId="0" borderId="0" xfId="0" applyFont="1" applyFill="1" applyBorder="1"/>
    <xf numFmtId="166" fontId="36" fillId="5" borderId="5" xfId="0" applyNumberFormat="1" applyFont="1" applyFill="1" applyBorder="1"/>
    <xf numFmtId="166" fontId="0" fillId="0" borderId="10" xfId="0" applyNumberFormat="1" applyBorder="1"/>
    <xf numFmtId="0" fontId="0" fillId="21" borderId="4" xfId="0" applyFont="1" applyFill="1" applyBorder="1"/>
    <xf numFmtId="0" fontId="0" fillId="21" borderId="5" xfId="0" applyFill="1" applyBorder="1"/>
    <xf numFmtId="166" fontId="0" fillId="21" borderId="5" xfId="0" applyNumberFormat="1" applyFill="1" applyBorder="1"/>
    <xf numFmtId="0" fontId="0" fillId="21" borderId="5" xfId="0" applyFill="1" applyBorder="1" applyAlignment="1">
      <alignment horizontal="center"/>
    </xf>
    <xf numFmtId="0" fontId="0" fillId="21" borderId="4" xfId="0" applyFill="1" applyBorder="1"/>
    <xf numFmtId="4" fontId="3" fillId="0" borderId="3" xfId="0" applyNumberFormat="1" applyFont="1" applyBorder="1"/>
    <xf numFmtId="4" fontId="3" fillId="6" borderId="3" xfId="0" applyNumberFormat="1" applyFont="1" applyFill="1" applyBorder="1"/>
    <xf numFmtId="4" fontId="3" fillId="4" borderId="3" xfId="0" applyNumberFormat="1" applyFont="1" applyFill="1" applyBorder="1"/>
    <xf numFmtId="4" fontId="3" fillId="7" borderId="3" xfId="0" applyNumberFormat="1" applyFont="1" applyFill="1" applyBorder="1"/>
    <xf numFmtId="4" fontId="3" fillId="8" borderId="3" xfId="0" applyNumberFormat="1" applyFont="1" applyFill="1" applyBorder="1"/>
    <xf numFmtId="0" fontId="3" fillId="0" borderId="3" xfId="0" applyFont="1" applyBorder="1"/>
    <xf numFmtId="44" fontId="3" fillId="9" borderId="3" xfId="0" applyNumberFormat="1" applyFont="1" applyFill="1" applyBorder="1" applyAlignment="1"/>
    <xf numFmtId="166" fontId="3" fillId="0" borderId="3" xfId="0" applyNumberFormat="1" applyFont="1" applyBorder="1" applyAlignment="1"/>
    <xf numFmtId="166" fontId="3" fillId="10" borderId="3" xfId="0" applyNumberFormat="1" applyFont="1" applyFill="1" applyBorder="1"/>
    <xf numFmtId="166" fontId="3" fillId="0" borderId="3" xfId="0" applyNumberFormat="1" applyFont="1" applyBorder="1"/>
    <xf numFmtId="166" fontId="3" fillId="4" borderId="3" xfId="0" applyNumberFormat="1" applyFont="1" applyFill="1" applyBorder="1"/>
    <xf numFmtId="166" fontId="3" fillId="7" borderId="3" xfId="0" applyNumberFormat="1" applyFont="1" applyFill="1" applyBorder="1"/>
    <xf numFmtId="166" fontId="3" fillId="11" borderId="3" xfId="0" applyNumberFormat="1" applyFont="1" applyFill="1" applyBorder="1"/>
    <xf numFmtId="166" fontId="3" fillId="12" borderId="3" xfId="0" applyNumberFormat="1" applyFont="1" applyFill="1" applyBorder="1"/>
    <xf numFmtId="166" fontId="3" fillId="13" borderId="3" xfId="0" applyNumberFormat="1" applyFont="1" applyFill="1" applyBorder="1"/>
    <xf numFmtId="166" fontId="37" fillId="0" borderId="3" xfId="0" applyNumberFormat="1" applyFont="1" applyBorder="1" applyAlignment="1"/>
    <xf numFmtId="166" fontId="37" fillId="10" borderId="3" xfId="0" applyNumberFormat="1" applyFont="1" applyFill="1" applyBorder="1"/>
    <xf numFmtId="0" fontId="38" fillId="6" borderId="6" xfId="0" applyFont="1" applyFill="1" applyBorder="1"/>
    <xf numFmtId="0" fontId="38" fillId="0" borderId="0" xfId="0" applyFont="1"/>
    <xf numFmtId="0" fontId="38" fillId="4" borderId="6" xfId="0" applyFont="1" applyFill="1" applyBorder="1"/>
    <xf numFmtId="0" fontId="38" fillId="7" borderId="6" xfId="0" applyFont="1" applyFill="1" applyBorder="1"/>
    <xf numFmtId="0" fontId="38" fillId="8" borderId="6" xfId="0" applyFont="1" applyFill="1" applyBorder="1"/>
    <xf numFmtId="44" fontId="38" fillId="9" borderId="6" xfId="0" applyNumberFormat="1" applyFont="1" applyFill="1" applyBorder="1" applyAlignment="1"/>
    <xf numFmtId="0" fontId="38" fillId="0" borderId="0" xfId="0" applyFont="1" applyAlignment="1"/>
    <xf numFmtId="0" fontId="38" fillId="10" borderId="6" xfId="0" applyFont="1" applyFill="1" applyBorder="1"/>
    <xf numFmtId="166" fontId="38" fillId="7" borderId="6" xfId="0" applyNumberFormat="1" applyFont="1" applyFill="1" applyBorder="1"/>
    <xf numFmtId="166" fontId="38" fillId="11" borderId="6" xfId="0" applyNumberFormat="1" applyFont="1" applyFill="1" applyBorder="1"/>
    <xf numFmtId="166" fontId="38" fillId="12" borderId="6" xfId="0" applyNumberFormat="1" applyFont="1" applyFill="1" applyBorder="1"/>
    <xf numFmtId="166" fontId="38" fillId="13" borderId="6" xfId="0" applyNumberFormat="1" applyFont="1" applyFill="1" applyBorder="1"/>
    <xf numFmtId="0" fontId="10" fillId="6" borderId="6" xfId="0" applyFont="1" applyFill="1" applyBorder="1"/>
    <xf numFmtId="0" fontId="10" fillId="0" borderId="0" xfId="0" applyFont="1"/>
    <xf numFmtId="0" fontId="10" fillId="4" borderId="6" xfId="0" applyFont="1" applyFill="1" applyBorder="1"/>
    <xf numFmtId="0" fontId="10" fillId="7" borderId="6" xfId="0" applyFont="1" applyFill="1" applyBorder="1"/>
    <xf numFmtId="0" fontId="10" fillId="8" borderId="6" xfId="0" applyFont="1" applyFill="1" applyBorder="1"/>
    <xf numFmtId="0" fontId="10" fillId="10" borderId="6" xfId="0" applyFont="1" applyFill="1" applyBorder="1"/>
    <xf numFmtId="166" fontId="10" fillId="7" borderId="6" xfId="0" applyNumberFormat="1" applyFont="1" applyFill="1" applyBorder="1"/>
    <xf numFmtId="166" fontId="10" fillId="11" borderId="6" xfId="0" applyNumberFormat="1" applyFont="1" applyFill="1" applyBorder="1"/>
    <xf numFmtId="166" fontId="10" fillId="12" borderId="6" xfId="0" applyNumberFormat="1" applyFont="1" applyFill="1" applyBorder="1"/>
    <xf numFmtId="166" fontId="10" fillId="13" borderId="6" xfId="0" applyNumberFormat="1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9" fillId="0" borderId="0" xfId="0" applyFont="1"/>
    <xf numFmtId="166" fontId="38" fillId="6" borderId="3" xfId="0" applyNumberFormat="1" applyFont="1" applyFill="1" applyBorder="1"/>
    <xf numFmtId="166" fontId="38" fillId="5" borderId="5" xfId="0" applyNumberFormat="1" applyFont="1" applyFill="1" applyBorder="1"/>
    <xf numFmtId="166" fontId="38" fillId="4" borderId="3" xfId="0" applyNumberFormat="1" applyFont="1" applyFill="1" applyBorder="1"/>
    <xf numFmtId="166" fontId="38" fillId="7" borderId="3" xfId="0" applyNumberFormat="1" applyFont="1" applyFill="1" applyBorder="1"/>
    <xf numFmtId="166" fontId="38" fillId="8" borderId="3" xfId="0" applyNumberFormat="1" applyFont="1" applyFill="1" applyBorder="1"/>
    <xf numFmtId="0" fontId="38" fillId="5" borderId="5" xfId="0" applyFont="1" applyFill="1" applyBorder="1"/>
    <xf numFmtId="44" fontId="38" fillId="9" borderId="3" xfId="0" applyNumberFormat="1" applyFont="1" applyFill="1" applyBorder="1" applyAlignment="1"/>
    <xf numFmtId="166" fontId="38" fillId="5" borderId="3" xfId="0" applyNumberFormat="1" applyFont="1" applyFill="1" applyBorder="1" applyAlignment="1"/>
    <xf numFmtId="166" fontId="38" fillId="10" borderId="3" xfId="0" applyNumberFormat="1" applyFont="1" applyFill="1" applyBorder="1"/>
    <xf numFmtId="166" fontId="38" fillId="5" borderId="6" xfId="0" applyNumberFormat="1" applyFont="1" applyFill="1" applyBorder="1"/>
    <xf numFmtId="0" fontId="38" fillId="5" borderId="0" xfId="0" applyFont="1" applyFill="1"/>
    <xf numFmtId="166" fontId="38" fillId="11" borderId="3" xfId="0" applyNumberFormat="1" applyFont="1" applyFill="1" applyBorder="1"/>
    <xf numFmtId="166" fontId="38" fillId="12" borderId="3" xfId="0" applyNumberFormat="1" applyFont="1" applyFill="1" applyBorder="1"/>
    <xf numFmtId="166" fontId="38" fillId="13" borderId="3" xfId="0" applyNumberFormat="1" applyFont="1" applyFill="1" applyBorder="1"/>
    <xf numFmtId="0" fontId="38" fillId="0" borderId="4" xfId="0" applyFont="1" applyBorder="1"/>
    <xf numFmtId="0" fontId="38" fillId="0" borderId="5" xfId="0" applyFont="1" applyBorder="1"/>
    <xf numFmtId="0" fontId="38" fillId="0" borderId="10" xfId="0" applyFont="1" applyBorder="1"/>
    <xf numFmtId="166" fontId="38" fillId="0" borderId="5" xfId="0" applyNumberFormat="1" applyFont="1" applyBorder="1"/>
    <xf numFmtId="166" fontId="38" fillId="0" borderId="7" xfId="0" applyNumberFormat="1" applyFont="1" applyBorder="1" applyAlignment="1"/>
    <xf numFmtId="166" fontId="38" fillId="0" borderId="0" xfId="0" applyNumberFormat="1" applyFont="1" applyBorder="1"/>
    <xf numFmtId="0" fontId="38" fillId="0" borderId="0" xfId="0" applyFont="1" applyFill="1"/>
    <xf numFmtId="0" fontId="38" fillId="0" borderId="0" xfId="0" applyFont="1" applyBorder="1"/>
    <xf numFmtId="0" fontId="11" fillId="0" borderId="0" xfId="0" applyFont="1" applyBorder="1"/>
    <xf numFmtId="0" fontId="37" fillId="0" borderId="0" xfId="0" applyFont="1" applyBorder="1"/>
    <xf numFmtId="166" fontId="3" fillId="6" borderId="3" xfId="0" applyNumberFormat="1" applyFont="1" applyFill="1" applyBorder="1"/>
    <xf numFmtId="166" fontId="37" fillId="0" borderId="5" xfId="0" applyNumberFormat="1" applyFont="1" applyBorder="1"/>
    <xf numFmtId="166" fontId="3" fillId="8" borderId="3" xfId="0" applyNumberFormat="1" applyFont="1" applyFill="1" applyBorder="1"/>
    <xf numFmtId="0" fontId="37" fillId="0" borderId="5" xfId="0" applyFont="1" applyBorder="1"/>
    <xf numFmtId="166" fontId="37" fillId="0" borderId="7" xfId="0" applyNumberFormat="1" applyFont="1" applyBorder="1" applyAlignment="1"/>
    <xf numFmtId="166" fontId="37" fillId="0" borderId="0" xfId="0" applyNumberFormat="1" applyFont="1" applyBorder="1"/>
    <xf numFmtId="0" fontId="37" fillId="0" borderId="0" xfId="0" applyFont="1" applyFill="1"/>
    <xf numFmtId="0" fontId="37" fillId="0" borderId="0" xfId="0" applyFont="1"/>
    <xf numFmtId="166" fontId="38" fillId="5" borderId="7" xfId="0" applyNumberFormat="1" applyFont="1" applyFill="1" applyBorder="1" applyAlignment="1"/>
    <xf numFmtId="166" fontId="38" fillId="5" borderId="0" xfId="0" applyNumberFormat="1" applyFont="1" applyFill="1" applyBorder="1"/>
    <xf numFmtId="7" fontId="38" fillId="9" borderId="3" xfId="0" applyNumberFormat="1" applyFont="1" applyFill="1" applyBorder="1" applyAlignment="1"/>
    <xf numFmtId="166" fontId="3" fillId="0" borderId="5" xfId="0" applyNumberFormat="1" applyFont="1" applyBorder="1"/>
    <xf numFmtId="0" fontId="3" fillId="0" borderId="5" xfId="0" applyFont="1" applyBorder="1"/>
    <xf numFmtId="166" fontId="3" fillId="0" borderId="7" xfId="0" applyNumberFormat="1" applyFont="1" applyBorder="1" applyAlignment="1"/>
    <xf numFmtId="166" fontId="3" fillId="0" borderId="0" xfId="0" applyNumberFormat="1" applyFont="1" applyBorder="1"/>
    <xf numFmtId="0" fontId="14" fillId="0" borderId="0" xfId="6" applyFont="1" applyAlignment="1">
      <alignment horizontal="right"/>
    </xf>
    <xf numFmtId="0" fontId="14" fillId="16" borderId="0" xfId="0" applyFont="1" applyFill="1" applyBorder="1"/>
    <xf numFmtId="164" fontId="14" fillId="16" borderId="0" xfId="2" applyNumberFormat="1" applyFont="1" applyFill="1" applyBorder="1"/>
    <xf numFmtId="8" fontId="14" fillId="16" borderId="0" xfId="2" applyNumberFormat="1" applyFont="1" applyFill="1" applyBorder="1"/>
    <xf numFmtId="0" fontId="0" fillId="10" borderId="0" xfId="0" applyFill="1"/>
    <xf numFmtId="0" fontId="18" fillId="10" borderId="3" xfId="0" applyFont="1" applyFill="1" applyBorder="1"/>
    <xf numFmtId="0" fontId="0" fillId="22" borderId="0" xfId="0" applyFill="1"/>
    <xf numFmtId="0" fontId="18" fillId="22" borderId="3" xfId="0" applyFont="1" applyFill="1" applyBorder="1"/>
    <xf numFmtId="0" fontId="0" fillId="23" borderId="0" xfId="0" applyFill="1"/>
    <xf numFmtId="0" fontId="18" fillId="23" borderId="3" xfId="0" applyFont="1" applyFill="1" applyBorder="1"/>
    <xf numFmtId="0" fontId="25" fillId="22" borderId="0" xfId="0" applyFont="1" applyFill="1"/>
    <xf numFmtId="42" fontId="14" fillId="0" borderId="3" xfId="7" applyNumberFormat="1" applyFont="1" applyFill="1" applyBorder="1"/>
    <xf numFmtId="8" fontId="14" fillId="0" borderId="3" xfId="7" applyNumberFormat="1" applyFont="1" applyFill="1" applyBorder="1"/>
    <xf numFmtId="8" fontId="15" fillId="0" borderId="3" xfId="7" applyNumberFormat="1" applyFont="1" applyFill="1" applyBorder="1"/>
    <xf numFmtId="164" fontId="14" fillId="0" borderId="3" xfId="7" applyNumberFormat="1" applyFont="1" applyFill="1" applyBorder="1"/>
    <xf numFmtId="5" fontId="0" fillId="0" borderId="3" xfId="1" applyNumberFormat="1" applyFont="1" applyBorder="1"/>
    <xf numFmtId="0" fontId="0" fillId="0" borderId="0" xfId="0" applyFill="1" applyBorder="1"/>
    <xf numFmtId="6" fontId="9" fillId="0" borderId="0" xfId="0" applyNumberFormat="1" applyFont="1" applyBorder="1"/>
    <xf numFmtId="6" fontId="15" fillId="0" borderId="0" xfId="2" applyNumberFormat="1" applyFont="1" applyFill="1" applyBorder="1"/>
    <xf numFmtId="6" fontId="14" fillId="0" borderId="11" xfId="2" applyNumberFormat="1" applyFont="1" applyFill="1" applyBorder="1"/>
    <xf numFmtId="8" fontId="14" fillId="0" borderId="11" xfId="2" applyNumberFormat="1" applyFont="1" applyFill="1" applyBorder="1"/>
    <xf numFmtId="0" fontId="32" fillId="0" borderId="0" xfId="6" applyFont="1" applyBorder="1" applyAlignment="1">
      <alignment vertical="center"/>
    </xf>
    <xf numFmtId="0" fontId="15" fillId="0" borderId="0" xfId="6" applyFont="1" applyAlignment="1">
      <alignment horizontal="right"/>
    </xf>
    <xf numFmtId="168" fontId="41" fillId="0" borderId="3" xfId="3" applyNumberFormat="1" applyFont="1" applyBorder="1"/>
    <xf numFmtId="0" fontId="43" fillId="3" borderId="3" xfId="0" applyFont="1" applyFill="1" applyBorder="1"/>
    <xf numFmtId="44" fontId="8" fillId="0" borderId="3" xfId="2" applyFont="1" applyFill="1" applyBorder="1"/>
    <xf numFmtId="164" fontId="42" fillId="0" borderId="3" xfId="2" applyNumberFormat="1" applyFont="1" applyBorder="1"/>
    <xf numFmtId="0" fontId="6" fillId="0" borderId="0" xfId="0" applyFont="1" applyFill="1" applyBorder="1"/>
    <xf numFmtId="0" fontId="16" fillId="24" borderId="0" xfId="0" applyFont="1" applyFill="1" applyBorder="1"/>
    <xf numFmtId="169" fontId="15" fillId="24" borderId="0" xfId="7" applyNumberFormat="1" applyFont="1" applyFill="1"/>
    <xf numFmtId="169" fontId="15" fillId="24" borderId="0" xfId="7" applyNumberFormat="1" applyFont="1" applyFill="1" applyAlignment="1">
      <alignment horizontal="center"/>
    </xf>
    <xf numFmtId="169" fontId="15" fillId="24" borderId="0" xfId="0" applyNumberFormat="1" applyFont="1" applyFill="1" applyAlignment="1">
      <alignment horizontal="center"/>
    </xf>
    <xf numFmtId="169" fontId="15" fillId="24" borderId="0" xfId="0" applyNumberFormat="1" applyFont="1" applyFill="1"/>
    <xf numFmtId="169" fontId="15" fillId="24" borderId="0" xfId="0" applyNumberFormat="1" applyFont="1" applyFill="1" applyBorder="1" applyAlignment="1">
      <alignment horizontal="center"/>
    </xf>
    <xf numFmtId="0" fontId="16" fillId="24" borderId="11" xfId="0" applyFont="1" applyFill="1" applyBorder="1"/>
    <xf numFmtId="170" fontId="15" fillId="24" borderId="11" xfId="7" applyNumberFormat="1" applyFont="1" applyFill="1" applyBorder="1" applyAlignment="1" applyProtection="1">
      <alignment horizontal="center"/>
      <protection locked="0"/>
    </xf>
    <xf numFmtId="169" fontId="15" fillId="24" borderId="11" xfId="7" applyNumberFormat="1" applyFont="1" applyFill="1" applyBorder="1" applyAlignment="1" applyProtection="1">
      <alignment horizontal="center"/>
      <protection locked="0"/>
    </xf>
    <xf numFmtId="169" fontId="15" fillId="24" borderId="11" xfId="0" applyNumberFormat="1" applyFont="1" applyFill="1" applyBorder="1" applyAlignment="1">
      <alignment horizontal="center"/>
    </xf>
    <xf numFmtId="0" fontId="44" fillId="0" borderId="3" xfId="0" applyNumberFormat="1" applyFont="1" applyFill="1" applyBorder="1" applyAlignment="1" applyProtection="1">
      <alignment horizontal="left"/>
      <protection locked="0"/>
    </xf>
    <xf numFmtId="0" fontId="40" fillId="0" borderId="3" xfId="0" applyFont="1" applyBorder="1"/>
    <xf numFmtId="0" fontId="40" fillId="0" borderId="0" xfId="0" applyFont="1"/>
    <xf numFmtId="8" fontId="40" fillId="0" borderId="3" xfId="0" applyNumberFormat="1" applyFont="1" applyBorder="1"/>
    <xf numFmtId="42" fontId="40" fillId="0" borderId="3" xfId="0" applyNumberFormat="1" applyFont="1" applyBorder="1"/>
    <xf numFmtId="0" fontId="9" fillId="25" borderId="3" xfId="0" applyFont="1" applyFill="1" applyBorder="1" applyAlignment="1">
      <alignment horizontal="center"/>
    </xf>
    <xf numFmtId="8" fontId="40" fillId="25" borderId="3" xfId="0" applyNumberFormat="1" applyFont="1" applyFill="1" applyBorder="1"/>
    <xf numFmtId="44" fontId="40" fillId="25" borderId="3" xfId="0" applyNumberFormat="1" applyFont="1" applyFill="1" applyBorder="1"/>
    <xf numFmtId="0" fontId="9" fillId="0" borderId="3" xfId="0" applyFont="1" applyBorder="1"/>
    <xf numFmtId="41" fontId="40" fillId="0" borderId="3" xfId="0" applyNumberFormat="1" applyFont="1" applyBorder="1"/>
    <xf numFmtId="44" fontId="40" fillId="0" borderId="3" xfId="0" applyNumberFormat="1" applyFont="1" applyBorder="1"/>
    <xf numFmtId="0" fontId="9" fillId="25" borderId="3" xfId="0" applyFont="1" applyFill="1" applyBorder="1"/>
    <xf numFmtId="0" fontId="15" fillId="0" borderId="4" xfId="0" applyFont="1" applyBorder="1"/>
    <xf numFmtId="8" fontId="14" fillId="0" borderId="10" xfId="7" applyNumberFormat="1" applyFont="1" applyFill="1" applyBorder="1"/>
    <xf numFmtId="0" fontId="14" fillId="0" borderId="4" xfId="0" applyFont="1" applyBorder="1"/>
    <xf numFmtId="44" fontId="14" fillId="0" borderId="10" xfId="7" applyNumberFormat="1" applyFont="1" applyFill="1" applyBorder="1"/>
    <xf numFmtId="8" fontId="14" fillId="0" borderId="4" xfId="7" applyNumberFormat="1" applyFont="1" applyBorder="1"/>
    <xf numFmtId="0" fontId="27" fillId="0" borderId="4" xfId="0" applyFont="1" applyBorder="1"/>
    <xf numFmtId="42" fontId="14" fillId="0" borderId="3" xfId="0" applyNumberFormat="1" applyFont="1" applyFill="1" applyBorder="1"/>
    <xf numFmtId="0" fontId="14" fillId="12" borderId="4" xfId="0" applyFont="1" applyFill="1" applyBorder="1"/>
    <xf numFmtId="8" fontId="14" fillId="12" borderId="3" xfId="7" applyNumberFormat="1" applyFont="1" applyFill="1" applyBorder="1"/>
    <xf numFmtId="8" fontId="14" fillId="12" borderId="10" xfId="7" applyNumberFormat="1" applyFont="1" applyFill="1" applyBorder="1"/>
    <xf numFmtId="42" fontId="14" fillId="12" borderId="3" xfId="7" applyNumberFormat="1" applyFont="1" applyFill="1" applyBorder="1"/>
    <xf numFmtId="0" fontId="15" fillId="26" borderId="15" xfId="0" applyFont="1" applyFill="1" applyBorder="1" applyAlignment="1">
      <alignment horizontal="right"/>
    </xf>
    <xf numFmtId="8" fontId="15" fillId="25" borderId="9" xfId="7" applyNumberFormat="1" applyFont="1" applyFill="1" applyBorder="1"/>
    <xf numFmtId="42" fontId="15" fillId="25" borderId="3" xfId="7" applyNumberFormat="1" applyFont="1" applyFill="1" applyBorder="1"/>
    <xf numFmtId="0" fontId="14" fillId="0" borderId="0" xfId="0" applyFont="1"/>
    <xf numFmtId="0" fontId="15" fillId="19" borderId="3" xfId="0" applyFont="1" applyFill="1" applyBorder="1" applyAlignment="1">
      <alignment horizontal="right"/>
    </xf>
    <xf numFmtId="42" fontId="14" fillId="19" borderId="3" xfId="2" applyNumberFormat="1" applyFont="1" applyFill="1" applyBorder="1"/>
    <xf numFmtId="164" fontId="14" fillId="19" borderId="3" xfId="2" applyNumberFormat="1" applyFont="1" applyFill="1" applyBorder="1"/>
    <xf numFmtId="6" fontId="14" fillId="19" borderId="3" xfId="2" applyNumberFormat="1" applyFont="1" applyFill="1" applyBorder="1"/>
    <xf numFmtId="42" fontId="14" fillId="0" borderId="0" xfId="2" applyNumberFormat="1" applyFont="1" applyFill="1" applyBorder="1"/>
    <xf numFmtId="44" fontId="14" fillId="0" borderId="0" xfId="2" applyNumberFormat="1" applyFont="1" applyFill="1" applyBorder="1"/>
    <xf numFmtId="166" fontId="0" fillId="5" borderId="0" xfId="0" applyNumberFormat="1" applyFill="1" applyBorder="1"/>
    <xf numFmtId="166" fontId="36" fillId="0" borderId="5" xfId="0" applyNumberFormat="1" applyFont="1" applyFill="1" applyBorder="1"/>
    <xf numFmtId="14" fontId="0" fillId="9" borderId="6" xfId="0" applyNumberFormat="1" applyFill="1" applyBorder="1" applyAlignment="1"/>
    <xf numFmtId="49" fontId="0" fillId="13" borderId="6" xfId="0" applyNumberFormat="1" applyFill="1" applyBorder="1"/>
    <xf numFmtId="165" fontId="29" fillId="0" borderId="0" xfId="6" applyNumberFormat="1" applyFill="1"/>
    <xf numFmtId="0" fontId="14" fillId="0" borderId="0" xfId="0" applyFont="1" applyFill="1" applyBorder="1"/>
    <xf numFmtId="164" fontId="15" fillId="0" borderId="0" xfId="7" applyNumberFormat="1" applyFont="1" applyFill="1" applyAlignment="1">
      <alignment horizontal="center"/>
    </xf>
    <xf numFmtId="164" fontId="14" fillId="0" borderId="0" xfId="7" applyNumberFormat="1" applyFont="1" applyFill="1" applyBorder="1"/>
    <xf numFmtId="164" fontId="14" fillId="0" borderId="0" xfId="7" applyNumberFormat="1" applyFont="1" applyFill="1"/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5" fillId="0" borderId="5" xfId="0" applyFont="1" applyFill="1" applyBorder="1" applyAlignment="1">
      <alignment horizontal="right"/>
    </xf>
    <xf numFmtId="164" fontId="14" fillId="0" borderId="5" xfId="7" applyNumberFormat="1" applyFont="1" applyFill="1" applyBorder="1"/>
    <xf numFmtId="0" fontId="15" fillId="0" borderId="0" xfId="0" applyFont="1" applyFill="1" applyBorder="1" applyAlignment="1">
      <alignment horizontal="right"/>
    </xf>
    <xf numFmtId="164" fontId="15" fillId="0" borderId="0" xfId="7" applyNumberFormat="1" applyFont="1" applyFill="1" applyBorder="1"/>
    <xf numFmtId="0" fontId="14" fillId="0" borderId="11" xfId="0" applyFont="1" applyFill="1" applyBorder="1"/>
    <xf numFmtId="164" fontId="15" fillId="0" borderId="11" xfId="7" applyNumberFormat="1" applyFont="1" applyFill="1" applyBorder="1" applyAlignment="1">
      <alignment horizontal="center"/>
    </xf>
    <xf numFmtId="168" fontId="0" fillId="0" borderId="0" xfId="8" applyNumberFormat="1" applyFont="1"/>
    <xf numFmtId="9" fontId="0" fillId="0" borderId="0" xfId="8" applyFont="1"/>
    <xf numFmtId="164" fontId="15" fillId="0" borderId="5" xfId="7" applyNumberFormat="1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15" fillId="2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7" fillId="16" borderId="0" xfId="0" applyFont="1" applyFill="1" applyBorder="1" applyAlignment="1">
      <alignment horizontal="center"/>
    </xf>
    <xf numFmtId="0" fontId="33" fillId="0" borderId="0" xfId="6" applyFont="1" applyFill="1" applyBorder="1" applyAlignment="1">
      <alignment horizontal="center" vertical="center"/>
    </xf>
    <xf numFmtId="0" fontId="32" fillId="0" borderId="0" xfId="6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10">
    <cellStyle name="Comma" xfId="1" builtinId="3"/>
    <cellStyle name="Currency" xfId="2" builtinId="4"/>
    <cellStyle name="Currency 2" xfId="7"/>
    <cellStyle name="Normal" xfId="0" builtinId="0"/>
    <cellStyle name="Normal 15" xfId="5"/>
    <cellStyle name="Normal 2" xfId="6"/>
    <cellStyle name="Normal 2 2" xfId="4"/>
    <cellStyle name="Normal 7" xfId="9"/>
    <cellStyle name="Percent" xfId="3" builtinId="5"/>
    <cellStyle name="Percent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Revenues -</a:t>
            </a:r>
            <a:r>
              <a:rPr lang="en-US" sz="1800" b="1" baseline="0">
                <a:solidFill>
                  <a:sysClr val="windowText" lastClr="000000"/>
                </a:solidFill>
              </a:rPr>
              <a:t> FY 2021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624274868016167E-2"/>
          <c:y val="0.16333012578421127"/>
          <c:w val="0.8280929923337419"/>
          <c:h val="0.754318809688867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0D4-4612-8C85-F45C49773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D4-4612-8C85-F45C49773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D4-4612-8C85-F45C497731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0974-4D39-B41E-88A0DCC7E4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74-4D39-B41E-88A0DCC7E4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0974-4D39-B41E-88A0DCC7E4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974-4D39-B41E-88A0DCC7E49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974-4D39-B41E-88A0DCC7E49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74-4D39-B41E-88A0DCC7E49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74-4D39-B41E-88A0DCC7E49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0974-4D39-B41E-88A0DCC7E49A}"/>
              </c:ext>
            </c:extLst>
          </c:dPt>
          <c:dLbls>
            <c:dLbl>
              <c:idx val="3"/>
              <c:layout>
                <c:manualLayout>
                  <c:x val="-6.5327430544211015E-2"/>
                  <c:y val="-3.63974926967052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974-4D39-B41E-88A0DCC7E49A}"/>
                </c:ext>
              </c:extLst>
            </c:dLbl>
            <c:dLbl>
              <c:idx val="4"/>
              <c:layout>
                <c:manualLayout>
                  <c:x val="-5.5311421134598839E-2"/>
                  <c:y val="4.634174260158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74-4D39-B41E-88A0DCC7E49A}"/>
                </c:ext>
              </c:extLst>
            </c:dLbl>
            <c:dLbl>
              <c:idx val="5"/>
              <c:layout>
                <c:manualLayout>
                  <c:x val="-4.6003713517515844E-2"/>
                  <c:y val="-7.29670024072592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72117535439996"/>
                      <c:h val="9.75760585774347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974-4D39-B41E-88A0DCC7E49A}"/>
                </c:ext>
              </c:extLst>
            </c:dLbl>
            <c:dLbl>
              <c:idx val="6"/>
              <c:layout>
                <c:manualLayout>
                  <c:x val="-8.484344539920062E-2"/>
                  <c:y val="-0.140982123856139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974-4D39-B41E-88A0DCC7E49A}"/>
                </c:ext>
              </c:extLst>
            </c:dLbl>
            <c:dLbl>
              <c:idx val="7"/>
              <c:layout>
                <c:manualLayout>
                  <c:x val="4.421951405451912E-2"/>
                  <c:y val="-0.132161098105980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974-4D39-B41E-88A0DCC7E49A}"/>
                </c:ext>
              </c:extLst>
            </c:dLbl>
            <c:dLbl>
              <c:idx val="8"/>
              <c:layout>
                <c:manualLayout>
                  <c:x val="9.2548436632142919E-2"/>
                  <c:y val="-0.14068676765527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974-4D39-B41E-88A0DCC7E49A}"/>
                </c:ext>
              </c:extLst>
            </c:dLbl>
            <c:dLbl>
              <c:idx val="9"/>
              <c:layout>
                <c:manualLayout>
                  <c:x val="3.4807444730030508E-2"/>
                  <c:y val="-1.18391330115993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74-4D39-B41E-88A0DCC7E49A}"/>
                </c:ext>
              </c:extLst>
            </c:dLbl>
            <c:dLbl>
              <c:idx val="10"/>
              <c:layout>
                <c:manualLayout>
                  <c:x val="3.4114446137270812E-2"/>
                  <c:y val="-1.45679464485543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74-4D39-B41E-88A0DCC7E4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Chart'!$A$9:$A$19</c:f>
              <c:strCache>
                <c:ptCount val="11"/>
                <c:pt idx="0">
                  <c:v>Water</c:v>
                </c:pt>
                <c:pt idx="1">
                  <c:v>WW - Steiner Ranch</c:v>
                </c:pt>
                <c:pt idx="2">
                  <c:v>WW - Flintrock</c:v>
                </c:pt>
                <c:pt idx="3">
                  <c:v>WW - Comanche </c:v>
                </c:pt>
                <c:pt idx="4">
                  <c:v>WW - WTCPUA (Falconhead West)</c:v>
                </c:pt>
                <c:pt idx="5">
                  <c:v>WW - LMUD - ( NLWV)</c:v>
                </c:pt>
                <c:pt idx="6">
                  <c:v>WW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'Pie Chart'!$B$9:$B$19</c:f>
              <c:numCache>
                <c:formatCode>_("$"* #,##0_);_("$"* \(#,##0\);_("$"* "-"??_);_(@_)</c:formatCode>
                <c:ptCount val="11"/>
                <c:pt idx="0">
                  <c:v>13230500</c:v>
                </c:pt>
                <c:pt idx="1">
                  <c:v>2900600</c:v>
                </c:pt>
                <c:pt idx="2">
                  <c:v>1400000</c:v>
                </c:pt>
                <c:pt idx="3">
                  <c:v>125000</c:v>
                </c:pt>
                <c:pt idx="4">
                  <c:v>406000</c:v>
                </c:pt>
                <c:pt idx="5">
                  <c:v>160000</c:v>
                </c:pt>
                <c:pt idx="6">
                  <c:v>64000</c:v>
                </c:pt>
                <c:pt idx="7">
                  <c:v>161000</c:v>
                </c:pt>
                <c:pt idx="8">
                  <c:v>519000</c:v>
                </c:pt>
                <c:pt idx="9">
                  <c:v>442600</c:v>
                </c:pt>
                <c:pt idx="10">
                  <c:v>1345681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4-4D39-B41E-88A0DCC7E49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0D4-4612-8C85-F45C497731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0D4-4612-8C85-F45C497731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10D4-4612-8C85-F45C497731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10D4-4612-8C85-F45C497731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0D4-4612-8C85-F45C497731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0D4-4612-8C85-F45C497731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10D4-4612-8C85-F45C497731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10D4-4612-8C85-F45C497731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10D4-4612-8C85-F45C497731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0D4-4612-8C85-F45C497731A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10D4-4612-8C85-F45C497731AB}"/>
              </c:ext>
            </c:extLst>
          </c:dPt>
          <c:cat>
            <c:strRef>
              <c:f>'Pie Chart'!$A$9:$A$19</c:f>
              <c:strCache>
                <c:ptCount val="11"/>
                <c:pt idx="0">
                  <c:v>Water</c:v>
                </c:pt>
                <c:pt idx="1">
                  <c:v>WW - Steiner Ranch</c:v>
                </c:pt>
                <c:pt idx="2">
                  <c:v>WW - Flintrock</c:v>
                </c:pt>
                <c:pt idx="3">
                  <c:v>WW - Comanche </c:v>
                </c:pt>
                <c:pt idx="4">
                  <c:v>WW - WTCPUA (Falconhead West)</c:v>
                </c:pt>
                <c:pt idx="5">
                  <c:v>WW - LMUD - ( NLWV)</c:v>
                </c:pt>
                <c:pt idx="6">
                  <c:v>WW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'Pie Chart'!$C$9:$C$19</c:f>
              <c:numCache>
                <c:formatCode>0.0%</c:formatCode>
                <c:ptCount val="11"/>
                <c:pt idx="0">
                  <c:v>0.63747986509450705</c:v>
                </c:pt>
                <c:pt idx="1">
                  <c:v>0.13975844425328801</c:v>
                </c:pt>
                <c:pt idx="2">
                  <c:v>6.7455637438668975E-2</c:v>
                </c:pt>
                <c:pt idx="3">
                  <c:v>6.02282477130973E-3</c:v>
                </c:pt>
                <c:pt idx="4">
                  <c:v>1.9562134857214003E-2</c:v>
                </c:pt>
                <c:pt idx="5">
                  <c:v>7.7092157072764537E-3</c:v>
                </c:pt>
                <c:pt idx="6">
                  <c:v>3.0836862829105817E-3</c:v>
                </c:pt>
                <c:pt idx="7">
                  <c:v>7.7573983054469321E-3</c:v>
                </c:pt>
                <c:pt idx="8">
                  <c:v>2.5006768450477997E-2</c:v>
                </c:pt>
                <c:pt idx="9">
                  <c:v>2.1325617950253492E-2</c:v>
                </c:pt>
                <c:pt idx="10">
                  <c:v>6.4838406888646782E-2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4-4D39-B41E-88A0DCC7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" r="0.2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Expenses - </a:t>
            </a:r>
            <a:r>
              <a:rPr lang="en-US" sz="1800" b="1" baseline="0">
                <a:solidFill>
                  <a:sysClr val="windowText" lastClr="000000"/>
                </a:solidFill>
              </a:rPr>
              <a:t>FY 2021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74-4440-97D6-9FDABEA9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74-4440-97D6-9FDABEA90C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74-4440-97D6-9FDABEA90C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74-4440-97D6-9FDABEA90C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74-4440-97D6-9FDABEA90C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774-4440-97D6-9FDABEA90C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774-4440-97D6-9FDABEA90C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774-4440-97D6-9FDABEA90C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774-4440-97D6-9FDABEA90CB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774-4440-97D6-9FDABEA90CB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774-4440-97D6-9FDABEA90CB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A40B-4B75-82B9-9A64EBC9CE0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A40B-4B75-82B9-9A64EBC9CE0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A40B-4B75-82B9-9A64EBC9CE06}"/>
              </c:ext>
            </c:extLst>
          </c:dPt>
          <c:dLbls>
            <c:dLbl>
              <c:idx val="1"/>
              <c:layout>
                <c:manualLayout>
                  <c:x val="2.4062349349188495E-3"/>
                  <c:y val="-0.163440860215053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74-4440-97D6-9FDABEA90CB3}"/>
                </c:ext>
              </c:extLst>
            </c:dLbl>
            <c:dLbl>
              <c:idx val="2"/>
              <c:layout>
                <c:manualLayout>
                  <c:x val="4.0816326530612249E-3"/>
                  <c:y val="-0.210752688172043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74-4440-97D6-9FDABEA90CB3}"/>
                </c:ext>
              </c:extLst>
            </c:dLbl>
            <c:dLbl>
              <c:idx val="3"/>
              <c:layout>
                <c:manualLayout>
                  <c:x val="0"/>
                  <c:y val="-9.2473118279569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74-4440-97D6-9FDABEA90CB3}"/>
                </c:ext>
              </c:extLst>
            </c:dLbl>
            <c:dLbl>
              <c:idx val="4"/>
              <c:layout>
                <c:manualLayout>
                  <c:x val="-2.2192940168192263E-3"/>
                  <c:y val="5.201828803657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74-4440-97D6-9FDABEA90CB3}"/>
                </c:ext>
              </c:extLst>
            </c:dLbl>
            <c:dLbl>
              <c:idx val="5"/>
              <c:layout>
                <c:manualLayout>
                  <c:x val="-9.9772090054687287E-17"/>
                  <c:y val="7.3118279569892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74-4440-97D6-9FDABEA90CB3}"/>
                </c:ext>
              </c:extLst>
            </c:dLbl>
            <c:dLbl>
              <c:idx val="6"/>
              <c:layout>
                <c:manualLayout>
                  <c:x val="-5.4421768707483987E-3"/>
                  <c:y val="0.118279569892473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74-4440-97D6-9FDABEA90CB3}"/>
                </c:ext>
              </c:extLst>
            </c:dLbl>
            <c:dLbl>
              <c:idx val="7"/>
              <c:layout>
                <c:manualLayout>
                  <c:x val="1.3470351920295578E-2"/>
                  <c:y val="0.178494623655913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774-4440-97D6-9FDABEA90CB3}"/>
                </c:ext>
              </c:extLst>
            </c:dLbl>
            <c:dLbl>
              <c:idx val="8"/>
              <c:layout>
                <c:manualLayout>
                  <c:x val="-0.14553355830521195"/>
                  <c:y val="0.15698924731182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774-4440-97D6-9FDABEA90CB3}"/>
                </c:ext>
              </c:extLst>
            </c:dLbl>
            <c:dLbl>
              <c:idx val="9"/>
              <c:layout>
                <c:manualLayout>
                  <c:x val="-0.12829653436177629"/>
                  <c:y val="5.5913978494623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774-4440-97D6-9FDABEA90C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Chart'!$A$23:$A$36</c:f>
              <c:strCache>
                <c:ptCount val="14"/>
                <c:pt idx="0">
                  <c:v>Water</c:v>
                </c:pt>
                <c:pt idx="1">
                  <c:v>WW - Steiner</c:v>
                </c:pt>
                <c:pt idx="2">
                  <c:v>WW - Flintrock</c:v>
                </c:pt>
                <c:pt idx="3">
                  <c:v>WW - Comanche Canyon</c:v>
                </c:pt>
                <c:pt idx="4">
                  <c:v>WW - WTCPUA (Falconhead West)</c:v>
                </c:pt>
                <c:pt idx="5">
                  <c:v>WW - LMUD (North Lakeway Village)</c:v>
                </c:pt>
                <c:pt idx="6">
                  <c:v>WW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Maintenance Department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'Pie Chart'!$B$23:$B$36</c:f>
              <c:numCache>
                <c:formatCode>_("$"* #,##0_);_("$"* \(#,##0\);_("$"* "-"??_);_(@_)</c:formatCode>
                <c:ptCount val="14"/>
                <c:pt idx="0">
                  <c:v>4325700</c:v>
                </c:pt>
                <c:pt idx="1">
                  <c:v>1565500</c:v>
                </c:pt>
                <c:pt idx="2">
                  <c:v>412200</c:v>
                </c:pt>
                <c:pt idx="3">
                  <c:v>132900</c:v>
                </c:pt>
                <c:pt idx="4">
                  <c:v>387750</c:v>
                </c:pt>
                <c:pt idx="5">
                  <c:v>137500</c:v>
                </c:pt>
                <c:pt idx="6">
                  <c:v>36900</c:v>
                </c:pt>
                <c:pt idx="7">
                  <c:v>101500</c:v>
                </c:pt>
                <c:pt idx="8">
                  <c:v>459000</c:v>
                </c:pt>
                <c:pt idx="9">
                  <c:v>364000</c:v>
                </c:pt>
                <c:pt idx="10">
                  <c:v>6671723</c:v>
                </c:pt>
                <c:pt idx="11">
                  <c:v>970000</c:v>
                </c:pt>
                <c:pt idx="12">
                  <c:v>232500</c:v>
                </c:pt>
                <c:pt idx="13">
                  <c:v>3379522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774-4440-97D6-9FDABEA90CB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774-4440-97D6-9FDABEA9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774-4440-97D6-9FDABEA90C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E774-4440-97D6-9FDABEA90C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E774-4440-97D6-9FDABEA90C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0-E774-4440-97D6-9FDABEA90C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2-E774-4440-97D6-9FDABEA90C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4-E774-4440-97D6-9FDABEA90C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E774-4440-97D6-9FDABEA90CB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8-E774-4440-97D6-9FDABEA90CB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E774-4440-97D6-9FDABEA90CB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C-E774-4440-97D6-9FDABEA90CB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A40B-4B75-82B9-9A64EBC9CE0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A40B-4B75-82B9-9A64EBC9CE0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A40B-4B75-82B9-9A64EBC9CE06}"/>
              </c:ext>
            </c:extLst>
          </c:dPt>
          <c:cat>
            <c:strRef>
              <c:f>'Pie Chart'!$A$23:$A$36</c:f>
              <c:strCache>
                <c:ptCount val="14"/>
                <c:pt idx="0">
                  <c:v>Water</c:v>
                </c:pt>
                <c:pt idx="1">
                  <c:v>WW - Steiner</c:v>
                </c:pt>
                <c:pt idx="2">
                  <c:v>WW - Flintrock</c:v>
                </c:pt>
                <c:pt idx="3">
                  <c:v>WW - Comanche Canyon</c:v>
                </c:pt>
                <c:pt idx="4">
                  <c:v>WW - WTCPUA (Falconhead West)</c:v>
                </c:pt>
                <c:pt idx="5">
                  <c:v>WW - LMUD (North Lakeway Village)</c:v>
                </c:pt>
                <c:pt idx="6">
                  <c:v>WW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Maintenance Department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'Pie Chart'!$C$23:$C$36</c:f>
              <c:numCache>
                <c:formatCode>0.0%</c:formatCode>
                <c:ptCount val="14"/>
                <c:pt idx="0">
                  <c:v>0.22557067315301202</c:v>
                </c:pt>
                <c:pt idx="1">
                  <c:v>8.1635547731243568E-2</c:v>
                </c:pt>
                <c:pt idx="2">
                  <c:v>2.1494840482158162E-2</c:v>
                </c:pt>
                <c:pt idx="3">
                  <c:v>6.9302869967948072E-3</c:v>
                </c:pt>
                <c:pt idx="4">
                  <c:v>2.021985540261239E-2</c:v>
                </c:pt>
                <c:pt idx="5">
                  <c:v>7.1701614902880814E-3</c:v>
                </c:pt>
                <c:pt idx="6">
                  <c:v>1.9242106108482196E-3</c:v>
                </c:pt>
                <c:pt idx="7">
                  <c:v>5.292882845558111E-3</c:v>
                </c:pt>
                <c:pt idx="8">
                  <c:v>2.3935302720307122E-2</c:v>
                </c:pt>
                <c:pt idx="9">
                  <c:v>1.8981372963380812E-2</c:v>
                </c:pt>
                <c:pt idx="10">
                  <c:v>0.34790786420704922</c:v>
                </c:pt>
                <c:pt idx="11">
                  <c:v>5.0582230149668644E-2</c:v>
                </c:pt>
                <c:pt idx="12">
                  <c:v>1.2124091247214393E-2</c:v>
                </c:pt>
                <c:pt idx="13">
                  <c:v>0.17623067999986441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E774-4440-97D6-9FDABEA9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25" l="0.2" r="0.2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299749044928583E-4"/>
          <c:y val="3.9278069946053788E-3"/>
          <c:w val="0.98356422632556584"/>
          <c:h val="0.98129595502689826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latin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'[4]Pie Chart'!$A$9:$A$19</c:f>
              <c:strCache>
                <c:ptCount val="11"/>
                <c:pt idx="0">
                  <c:v>Water</c:v>
                </c:pt>
                <c:pt idx="1">
                  <c:v>WW - Steiner Ranch</c:v>
                </c:pt>
                <c:pt idx="2">
                  <c:v>WW - Flintrock</c:v>
                </c:pt>
                <c:pt idx="3">
                  <c:v>WW - Comanche </c:v>
                </c:pt>
                <c:pt idx="4">
                  <c:v>WW - WTCPUA (Falconhead West)</c:v>
                </c:pt>
                <c:pt idx="5">
                  <c:v>WW - LMUD - ( NLWV)</c:v>
                </c:pt>
                <c:pt idx="6">
                  <c:v>WW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'[4]Pie Chart'!$B$9:$B$19</c:f>
              <c:numCache>
                <c:formatCode>General</c:formatCode>
                <c:ptCount val="11"/>
                <c:pt idx="0">
                  <c:v>12951700</c:v>
                </c:pt>
                <c:pt idx="1">
                  <c:v>2850600</c:v>
                </c:pt>
                <c:pt idx="2">
                  <c:v>1330000</c:v>
                </c:pt>
                <c:pt idx="3">
                  <c:v>98800</c:v>
                </c:pt>
                <c:pt idx="4">
                  <c:v>403750</c:v>
                </c:pt>
                <c:pt idx="5">
                  <c:v>151050</c:v>
                </c:pt>
                <c:pt idx="6">
                  <c:v>64000</c:v>
                </c:pt>
                <c:pt idx="7">
                  <c:v>160500</c:v>
                </c:pt>
                <c:pt idx="8">
                  <c:v>468200</c:v>
                </c:pt>
                <c:pt idx="9">
                  <c:v>288600</c:v>
                </c:pt>
                <c:pt idx="10">
                  <c:v>1333000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7-4A21-A2CD-DE5EE705450F}"/>
            </c:ext>
          </c:extLst>
        </c:ser>
        <c:ser>
          <c:idx val="1"/>
          <c:order val="1"/>
          <c:cat>
            <c:strRef>
              <c:f>'[4]Pie Chart'!$A$9:$A$19</c:f>
              <c:strCache>
                <c:ptCount val="11"/>
                <c:pt idx="0">
                  <c:v>Water</c:v>
                </c:pt>
                <c:pt idx="1">
                  <c:v>WW - Steiner Ranch</c:v>
                </c:pt>
                <c:pt idx="2">
                  <c:v>WW - Flintrock</c:v>
                </c:pt>
                <c:pt idx="3">
                  <c:v>WW - Comanche </c:v>
                </c:pt>
                <c:pt idx="4">
                  <c:v>WW - WTCPUA (Falconhead West)</c:v>
                </c:pt>
                <c:pt idx="5">
                  <c:v>WW - LMUD - ( NLWV)</c:v>
                </c:pt>
                <c:pt idx="6">
                  <c:v>WW - Commander's Point</c:v>
                </c:pt>
                <c:pt idx="7">
                  <c:v>Raw Water/Reclaimed</c:v>
                </c:pt>
                <c:pt idx="8">
                  <c:v>Solid Waste Service</c:v>
                </c:pt>
                <c:pt idx="9">
                  <c:v>Penalties</c:v>
                </c:pt>
                <c:pt idx="10">
                  <c:v>Other</c:v>
                </c:pt>
              </c:strCache>
            </c:strRef>
          </c:cat>
          <c:val>
            <c:numRef>
              <c:f>'[4]Pie Chart'!$C$9:$C$19</c:f>
              <c:numCache>
                <c:formatCode>General</c:formatCode>
                <c:ptCount val="11"/>
                <c:pt idx="0">
                  <c:v>0.64435677256942714</c:v>
                </c:pt>
                <c:pt idx="1">
                  <c:v>0.14181948438323996</c:v>
                </c:pt>
                <c:pt idx="2">
                  <c:v>6.6168495835862332E-2</c:v>
                </c:pt>
                <c:pt idx="3">
                  <c:v>4.9153739763783443E-3</c:v>
                </c:pt>
                <c:pt idx="4">
                  <c:v>2.0086864807315349E-2</c:v>
                </c:pt>
                <c:pt idx="5">
                  <c:v>7.514850598501507E-3</c:v>
                </c:pt>
                <c:pt idx="6">
                  <c:v>3.184047919921195E-3</c:v>
                </c:pt>
                <c:pt idx="7">
                  <c:v>7.9849951741773721E-3</c:v>
                </c:pt>
                <c:pt idx="8">
                  <c:v>2.3293300564173492E-2</c:v>
                </c:pt>
                <c:pt idx="9">
                  <c:v>1.4358066088894637E-2</c:v>
                </c:pt>
                <c:pt idx="10">
                  <c:v>6.6317748082108635E-2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7-4A21-A2CD-DE5EE7054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876522597337082E-3"/>
          <c:y val="2.9761904761904756E-3"/>
          <c:w val="0.9154895841347005"/>
          <c:h val="0.91340245775729645"/>
        </c:manualLayout>
      </c:layout>
      <c:pie3DChart>
        <c:varyColors val="1"/>
        <c:ser>
          <c:idx val="0"/>
          <c:order val="0"/>
          <c:dLbls>
            <c:dLbl>
              <c:idx val="9"/>
              <c:layout>
                <c:manualLayout>
                  <c:x val="-7.8230834023947163E-2"/>
                  <c:y val="5.9031512291992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F-4B8B-B304-5C25EDF83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'[4]Pie Chart'!$A$23:$A$36</c:f>
              <c:strCache>
                <c:ptCount val="14"/>
                <c:pt idx="0">
                  <c:v>Water</c:v>
                </c:pt>
                <c:pt idx="1">
                  <c:v>WW - Steiner</c:v>
                </c:pt>
                <c:pt idx="2">
                  <c:v>WW - Flintrock</c:v>
                </c:pt>
                <c:pt idx="3">
                  <c:v>WW - Comanche Canyon</c:v>
                </c:pt>
                <c:pt idx="4">
                  <c:v>WW - WTCPUA (Falconhead West)</c:v>
                </c:pt>
                <c:pt idx="5">
                  <c:v>WW - LMUD (North Lakeway Village)</c:v>
                </c:pt>
                <c:pt idx="6">
                  <c:v>WW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Maintenance Department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'[4]Pie Chart'!$B$23:$B$36</c:f>
              <c:numCache>
                <c:formatCode>General</c:formatCode>
                <c:ptCount val="14"/>
                <c:pt idx="0">
                  <c:v>4357800</c:v>
                </c:pt>
                <c:pt idx="1">
                  <c:v>1801500</c:v>
                </c:pt>
                <c:pt idx="2">
                  <c:v>452000</c:v>
                </c:pt>
                <c:pt idx="3">
                  <c:v>112300</c:v>
                </c:pt>
                <c:pt idx="4">
                  <c:v>407600</c:v>
                </c:pt>
                <c:pt idx="5">
                  <c:v>116800</c:v>
                </c:pt>
                <c:pt idx="6">
                  <c:v>29200</c:v>
                </c:pt>
                <c:pt idx="7">
                  <c:v>110000</c:v>
                </c:pt>
                <c:pt idx="8">
                  <c:v>425000</c:v>
                </c:pt>
                <c:pt idx="9">
                  <c:v>409000</c:v>
                </c:pt>
                <c:pt idx="10">
                  <c:v>6102118</c:v>
                </c:pt>
                <c:pt idx="11">
                  <c:v>805000</c:v>
                </c:pt>
                <c:pt idx="12">
                  <c:v>240684</c:v>
                </c:pt>
                <c:pt idx="13">
                  <c:v>4302701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F-4B8B-B304-5C25EDF8395B}"/>
            </c:ext>
          </c:extLst>
        </c:ser>
        <c:ser>
          <c:idx val="1"/>
          <c:order val="1"/>
          <c:cat>
            <c:strRef>
              <c:f>'[4]Pie Chart'!$A$23:$A$36</c:f>
              <c:strCache>
                <c:ptCount val="14"/>
                <c:pt idx="0">
                  <c:v>Water</c:v>
                </c:pt>
                <c:pt idx="1">
                  <c:v>WW - Steiner</c:v>
                </c:pt>
                <c:pt idx="2">
                  <c:v>WW - Flintrock</c:v>
                </c:pt>
                <c:pt idx="3">
                  <c:v>WW - Comanche Canyon</c:v>
                </c:pt>
                <c:pt idx="4">
                  <c:v>WW - WTCPUA (Falconhead West)</c:v>
                </c:pt>
                <c:pt idx="5">
                  <c:v>WW - LMUD (North Lakeway Village)</c:v>
                </c:pt>
                <c:pt idx="6">
                  <c:v>WW - Commander's Point</c:v>
                </c:pt>
                <c:pt idx="7">
                  <c:v>Raw Water/Reclaim</c:v>
                </c:pt>
                <c:pt idx="8">
                  <c:v>Solid Waste Service - Progressive</c:v>
                </c:pt>
                <c:pt idx="9">
                  <c:v>Maintenance Department</c:v>
                </c:pt>
                <c:pt idx="10">
                  <c:v>Employee Salaries &amp; Benefits</c:v>
                </c:pt>
                <c:pt idx="11">
                  <c:v>Professional Svc</c:v>
                </c:pt>
                <c:pt idx="12">
                  <c:v>Expenses - Admin</c:v>
                </c:pt>
                <c:pt idx="13">
                  <c:v>Other</c:v>
                </c:pt>
              </c:strCache>
            </c:strRef>
          </c:cat>
          <c:val>
            <c:numRef>
              <c:f>'[4]Pie Chart'!$C$23:$C$36</c:f>
              <c:numCache>
                <c:formatCode>General</c:formatCode>
                <c:ptCount val="14"/>
                <c:pt idx="0">
                  <c:v>0.2215263213357786</c:v>
                </c:pt>
                <c:pt idx="1">
                  <c:v>9.1578243124146391E-2</c:v>
                </c:pt>
                <c:pt idx="2">
                  <c:v>2.2977166745553244E-2</c:v>
                </c:pt>
                <c:pt idx="3">
                  <c:v>5.7087075785965252E-3</c:v>
                </c:pt>
                <c:pt idx="4">
                  <c:v>2.0720117622759961E-2</c:v>
                </c:pt>
                <c:pt idx="5">
                  <c:v>5.9374625572580064E-3</c:v>
                </c:pt>
                <c:pt idx="6">
                  <c:v>1.4843656393145016E-3</c:v>
                </c:pt>
                <c:pt idx="7">
                  <c:v>5.5917883672806567E-3</c:v>
                </c:pt>
                <c:pt idx="8">
                  <c:v>2.1604636873584358E-2</c:v>
                </c:pt>
                <c:pt idx="9">
                  <c:v>2.0791285838343533E-2</c:v>
                </c:pt>
                <c:pt idx="10">
                  <c:v>0.31019774952885371</c:v>
                </c:pt>
                <c:pt idx="11">
                  <c:v>4.09217239605539E-2</c:v>
                </c:pt>
                <c:pt idx="12">
                  <c:v>1.2235036285368888E-2</c:v>
                </c:pt>
                <c:pt idx="13">
                  <c:v>0.21872539454260773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F-4B8B-B304-5C25EDF8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68580</xdr:rowOff>
    </xdr:from>
    <xdr:to>
      <xdr:col>16</xdr:col>
      <xdr:colOff>533400</xdr:colOff>
      <xdr:row>32</xdr:row>
      <xdr:rowOff>30480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99060</xdr:colOff>
      <xdr:row>32</xdr:row>
      <xdr:rowOff>15240</xdr:rowOff>
    </xdr:from>
    <xdr:to>
      <xdr:col>16</xdr:col>
      <xdr:colOff>510540</xdr:colOff>
      <xdr:row>62</xdr:row>
      <xdr:rowOff>99060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4</xdr:row>
      <xdr:rowOff>68580</xdr:rowOff>
    </xdr:from>
    <xdr:to>
      <xdr:col>16</xdr:col>
      <xdr:colOff>563880</xdr:colOff>
      <xdr:row>41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</xdr:colOff>
      <xdr:row>42</xdr:row>
      <xdr:rowOff>22860</xdr:rowOff>
    </xdr:from>
    <xdr:to>
      <xdr:col>16</xdr:col>
      <xdr:colOff>571500</xdr:colOff>
      <xdr:row>81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</cdr:x>
      <cdr:y>0.03518</cdr:y>
    </cdr:from>
    <cdr:to>
      <cdr:x>0.84059</cdr:x>
      <cdr:y>0.20076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7475" y="194310"/>
          <a:ext cx="219456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0.5132</cdr:x>
      <cdr:y>0.0338</cdr:y>
    </cdr:from>
    <cdr:to>
      <cdr:x>0.79703</cdr:x>
      <cdr:y>0.089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62275" y="186691"/>
          <a:ext cx="1638300" cy="30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0.38647</cdr:x>
      <cdr:y>0.02967</cdr:y>
    </cdr:from>
    <cdr:to>
      <cdr:x>0.63201</cdr:x>
      <cdr:y>0.07934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30755" y="163830"/>
          <a:ext cx="14173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800" b="1"/>
            <a:t>Revenue - FY</a:t>
          </a:r>
          <a:r>
            <a:rPr lang="en-US" sz="1800" b="1" baseline="0"/>
            <a:t> 2020</a:t>
          </a:r>
        </a:p>
        <a:p xmlns:a="http://schemas.openxmlformats.org/drawingml/2006/main">
          <a:pPr algn="ctr"/>
          <a:endParaRPr lang="en-US" sz="1800" b="1" baseline="0"/>
        </a:p>
        <a:p xmlns:a="http://schemas.openxmlformats.org/drawingml/2006/main">
          <a:pPr algn="ctr"/>
          <a:endParaRPr lang="en-US" sz="1800" b="1" baseline="0"/>
        </a:p>
        <a:p xmlns:a="http://schemas.openxmlformats.org/drawingml/2006/main">
          <a:pPr algn="ctr"/>
          <a:endParaRPr lang="en-US" sz="18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0.35732</cdr:x>
      <cdr:y>0.02652</cdr:y>
    </cdr:from>
    <cdr:to>
      <cdr:x>0.60286</cdr:x>
      <cdr:y>0.07765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62480" y="142240"/>
          <a:ext cx="14173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 b="1"/>
            <a:t>Expenses- FY</a:t>
          </a:r>
          <a:r>
            <a:rPr lang="en-US" sz="1800" b="1" baseline="0"/>
            <a:t> 2020</a:t>
          </a:r>
          <a:endParaRPr lang="en-US" sz="18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Statement%20Reports\2020\March\Copy%20of%20GF_INC%20March%202020%20VE%20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essica\Bond%20Issues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s\FY%202020\BUD%202020%20AMENDED%2009-30-2020%20Proposed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s\FY%202020\BUD%202020%20AMENDED%206-1-2020%20VE%20ADOP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_INC March 2020 Summary"/>
      <sheetName val="recap all Funds"/>
      <sheetName val=" GFINC March 2020"/>
      <sheetName val="Pie Chart"/>
      <sheetName val="GFINC Mar 2017 w budget amdmt"/>
      <sheetName val="Sheet1"/>
      <sheetName val="Proposed Amendments"/>
      <sheetName val="Budget Summary"/>
      <sheetName val="Pie Chart FY 15 Budget"/>
      <sheetName val="Pie Chart FY 16 Budget (2)"/>
      <sheetName val="Errors- GF_INC May 2017 SUMMARY"/>
    </sheetNames>
    <sheetDataSet>
      <sheetData sheetId="0"/>
      <sheetData sheetId="1"/>
      <sheetData sheetId="2">
        <row r="22">
          <cell r="B22">
            <v>636676.31000000006</v>
          </cell>
          <cell r="C22">
            <v>5238974.4700000007</v>
          </cell>
          <cell r="D22">
            <v>6515350</v>
          </cell>
          <cell r="F22">
            <v>13030700</v>
          </cell>
        </row>
        <row r="28">
          <cell r="B28">
            <v>239263.38</v>
          </cell>
          <cell r="C28">
            <v>1339579.8400000001</v>
          </cell>
          <cell r="D28">
            <v>1500300</v>
          </cell>
          <cell r="F28">
            <v>3000600</v>
          </cell>
        </row>
        <row r="33">
          <cell r="B33">
            <v>108555.94</v>
          </cell>
          <cell r="C33">
            <v>613079.31999999995</v>
          </cell>
          <cell r="D33">
            <v>700000</v>
          </cell>
          <cell r="F33">
            <v>1400000</v>
          </cell>
        </row>
        <row r="37">
          <cell r="B37">
            <v>9802.7800000000007</v>
          </cell>
          <cell r="C37">
            <v>49331.21</v>
          </cell>
          <cell r="D37">
            <v>52000</v>
          </cell>
          <cell r="F37">
            <v>104000</v>
          </cell>
        </row>
        <row r="41">
          <cell r="B41">
            <v>32222.59</v>
          </cell>
          <cell r="C41">
            <v>193279.45</v>
          </cell>
          <cell r="D41">
            <v>212500</v>
          </cell>
          <cell r="F41">
            <v>425000</v>
          </cell>
        </row>
        <row r="45">
          <cell r="B45">
            <v>13732.66</v>
          </cell>
          <cell r="C45">
            <v>76311.570000000007</v>
          </cell>
          <cell r="D45">
            <v>79500</v>
          </cell>
          <cell r="F45">
            <v>159000</v>
          </cell>
        </row>
        <row r="49">
          <cell r="B49">
            <v>6663.4</v>
          </cell>
          <cell r="C49">
            <v>34556.839999999997</v>
          </cell>
          <cell r="D49">
            <v>32000</v>
          </cell>
          <cell r="F49">
            <v>64000</v>
          </cell>
        </row>
        <row r="55">
          <cell r="B55">
            <v>720.54000000000008</v>
          </cell>
          <cell r="C55">
            <v>59391.68</v>
          </cell>
          <cell r="D55">
            <v>78250</v>
          </cell>
          <cell r="F55">
            <v>156500</v>
          </cell>
        </row>
        <row r="59">
          <cell r="B59">
            <v>42985.56</v>
          </cell>
          <cell r="C59">
            <v>237782.04</v>
          </cell>
          <cell r="D59">
            <v>246600</v>
          </cell>
          <cell r="F59">
            <v>493200</v>
          </cell>
        </row>
        <row r="72">
          <cell r="B72">
            <v>25689.120000000003</v>
          </cell>
          <cell r="C72">
            <v>228568.62</v>
          </cell>
          <cell r="D72">
            <v>213550</v>
          </cell>
          <cell r="F72">
            <v>427100</v>
          </cell>
        </row>
        <row r="110">
          <cell r="B110">
            <v>136219.06999999998</v>
          </cell>
          <cell r="C110">
            <v>776974.25</v>
          </cell>
          <cell r="D110">
            <v>799500</v>
          </cell>
          <cell r="F110">
            <v>1599000</v>
          </cell>
        </row>
        <row r="175">
          <cell r="B175">
            <v>276417.62</v>
          </cell>
          <cell r="C175">
            <v>1418946.68</v>
          </cell>
          <cell r="D175">
            <v>2189900</v>
          </cell>
          <cell r="F175">
            <v>4379800</v>
          </cell>
        </row>
        <row r="207">
          <cell r="B207">
            <v>158231.52999999997</v>
          </cell>
          <cell r="C207">
            <v>671714.97000000009</v>
          </cell>
          <cell r="D207">
            <v>900750</v>
          </cell>
          <cell r="F207">
            <v>1801500</v>
          </cell>
        </row>
        <row r="232">
          <cell r="B232">
            <v>29463.65</v>
          </cell>
          <cell r="C232">
            <v>165569.28999999998</v>
          </cell>
          <cell r="D232">
            <v>226000</v>
          </cell>
          <cell r="F232">
            <v>452000</v>
          </cell>
        </row>
        <row r="255">
          <cell r="B255">
            <v>6679.5700000000006</v>
          </cell>
          <cell r="C255">
            <v>30808.57</v>
          </cell>
          <cell r="D255">
            <v>56150</v>
          </cell>
          <cell r="F255">
            <v>112300</v>
          </cell>
        </row>
        <row r="264">
          <cell r="B264">
            <v>30314.23</v>
          </cell>
          <cell r="C264">
            <v>122175.81</v>
          </cell>
          <cell r="D264">
            <v>203800</v>
          </cell>
          <cell r="F264">
            <v>407600</v>
          </cell>
        </row>
        <row r="271">
          <cell r="B271">
            <v>9598.07</v>
          </cell>
          <cell r="C271">
            <v>55386.720000000001</v>
          </cell>
          <cell r="D271">
            <v>58400</v>
          </cell>
          <cell r="F271">
            <v>116800</v>
          </cell>
        </row>
        <row r="286">
          <cell r="B286">
            <v>6534.71</v>
          </cell>
          <cell r="C286">
            <v>18844.54</v>
          </cell>
          <cell r="D286">
            <v>14600</v>
          </cell>
          <cell r="F286">
            <v>29200</v>
          </cell>
        </row>
        <row r="294">
          <cell r="B294">
            <v>5653.32</v>
          </cell>
          <cell r="C294">
            <v>37898.92</v>
          </cell>
          <cell r="D294">
            <v>55000</v>
          </cell>
          <cell r="F294">
            <v>110000</v>
          </cell>
        </row>
        <row r="298">
          <cell r="B298">
            <v>37393.879999999997</v>
          </cell>
          <cell r="C298">
            <v>185590.06</v>
          </cell>
          <cell r="D298">
            <v>212500</v>
          </cell>
          <cell r="F298">
            <v>425000</v>
          </cell>
        </row>
        <row r="299">
          <cell r="C299"/>
          <cell r="D299"/>
        </row>
        <row r="307">
          <cell r="B307">
            <v>20768.52</v>
          </cell>
          <cell r="F307">
            <v>317000</v>
          </cell>
        </row>
        <row r="329">
          <cell r="B329">
            <v>438165.72</v>
          </cell>
          <cell r="C329">
            <v>2666965.5299999998</v>
          </cell>
          <cell r="D329">
            <v>3092792</v>
          </cell>
          <cell r="F329">
            <v>6185584</v>
          </cell>
        </row>
        <row r="339">
          <cell r="B339">
            <v>17661.539999999997</v>
          </cell>
          <cell r="C339">
            <v>478070.41999999993</v>
          </cell>
          <cell r="D339">
            <v>402500</v>
          </cell>
          <cell r="F339">
            <v>805000</v>
          </cell>
        </row>
        <row r="358">
          <cell r="B358">
            <v>20041.7</v>
          </cell>
          <cell r="C358">
            <v>131926.47</v>
          </cell>
          <cell r="D358">
            <v>119250</v>
          </cell>
          <cell r="F358">
            <v>238500</v>
          </cell>
        </row>
        <row r="406">
          <cell r="B406">
            <v>70274.819999999992</v>
          </cell>
          <cell r="C406">
            <v>1113578.23</v>
          </cell>
          <cell r="D406">
            <v>2104613</v>
          </cell>
          <cell r="F406">
            <v>4209226</v>
          </cell>
        </row>
        <row r="426">
          <cell r="B426">
            <v>62080</v>
          </cell>
          <cell r="C426">
            <v>371105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d Issues"/>
      <sheetName val="FY 2018"/>
      <sheetName val="FY 2019"/>
      <sheetName val="FY 2020"/>
      <sheetName val="FY 2021"/>
    </sheetNames>
    <sheetDataSet>
      <sheetData sheetId="0"/>
      <sheetData sheetId="1">
        <row r="5">
          <cell r="I5">
            <v>133301</v>
          </cell>
        </row>
        <row r="6">
          <cell r="I6">
            <v>1330537.5</v>
          </cell>
        </row>
        <row r="7">
          <cell r="I7">
            <v>625800</v>
          </cell>
        </row>
        <row r="8">
          <cell r="I8">
            <v>663437.5</v>
          </cell>
        </row>
        <row r="9">
          <cell r="I9">
            <v>276887.5</v>
          </cell>
        </row>
        <row r="10">
          <cell r="I10">
            <v>955900</v>
          </cell>
        </row>
        <row r="11">
          <cell r="I11">
            <v>240618.76</v>
          </cell>
        </row>
        <row r="12">
          <cell r="I12">
            <v>902387.5</v>
          </cell>
        </row>
        <row r="13">
          <cell r="I13">
            <v>166500</v>
          </cell>
        </row>
        <row r="14">
          <cell r="I14">
            <v>846793.76</v>
          </cell>
        </row>
        <row r="15">
          <cell r="I15">
            <v>365375</v>
          </cell>
        </row>
        <row r="16">
          <cell r="I16">
            <v>1040000</v>
          </cell>
        </row>
        <row r="17">
          <cell r="I17">
            <v>170087.5</v>
          </cell>
        </row>
        <row r="18">
          <cell r="I18">
            <v>724150</v>
          </cell>
        </row>
        <row r="19">
          <cell r="I19">
            <v>410000</v>
          </cell>
        </row>
        <row r="20">
          <cell r="I20">
            <v>139612.5</v>
          </cell>
        </row>
        <row r="21">
          <cell r="I21">
            <v>909918.76</v>
          </cell>
        </row>
        <row r="22">
          <cell r="I22">
            <v>493950</v>
          </cell>
        </row>
        <row r="23">
          <cell r="I23">
            <v>171500</v>
          </cell>
        </row>
        <row r="24">
          <cell r="I24">
            <v>289537.5</v>
          </cell>
        </row>
        <row r="25">
          <cell r="I25">
            <v>238481.26</v>
          </cell>
        </row>
        <row r="26">
          <cell r="I26">
            <v>564235</v>
          </cell>
        </row>
        <row r="27">
          <cell r="I27">
            <v>150195</v>
          </cell>
        </row>
        <row r="28">
          <cell r="I28">
            <v>80957.5</v>
          </cell>
        </row>
        <row r="29">
          <cell r="I29">
            <v>247572.5</v>
          </cell>
        </row>
        <row r="30">
          <cell r="I30">
            <v>207635.77000000002</v>
          </cell>
        </row>
        <row r="31">
          <cell r="I31">
            <v>137469.35999999999</v>
          </cell>
        </row>
      </sheetData>
      <sheetData sheetId="2">
        <row r="8">
          <cell r="G8">
            <v>536579.75</v>
          </cell>
          <cell r="I8">
            <v>2214943.75</v>
          </cell>
        </row>
        <row r="25">
          <cell r="G25">
            <v>990203.14</v>
          </cell>
          <cell r="I25">
            <v>8339118.7799999993</v>
          </cell>
        </row>
        <row r="30">
          <cell r="G30">
            <v>253453.13</v>
          </cell>
          <cell r="I30">
            <v>1269775.01</v>
          </cell>
        </row>
        <row r="32">
          <cell r="G32">
            <v>28622.5</v>
          </cell>
          <cell r="I32">
            <v>149945</v>
          </cell>
        </row>
        <row r="34">
          <cell r="G34">
            <v>18798.75</v>
          </cell>
          <cell r="I34">
            <v>83767.5</v>
          </cell>
        </row>
        <row r="39">
          <cell r="G39">
            <v>376463.13</v>
          </cell>
          <cell r="I39">
            <v>836766.26</v>
          </cell>
        </row>
      </sheetData>
      <sheetData sheetId="3">
        <row r="9">
          <cell r="E9">
            <v>1738576.69</v>
          </cell>
        </row>
        <row r="27">
          <cell r="E27">
            <v>7491235.1499999994</v>
          </cell>
        </row>
        <row r="32">
          <cell r="E32">
            <v>1033453.13</v>
          </cell>
        </row>
        <row r="34">
          <cell r="G34">
            <v>25748.75</v>
          </cell>
        </row>
        <row r="36">
          <cell r="G36">
            <v>17617.5</v>
          </cell>
        </row>
        <row r="42">
          <cell r="E42">
            <v>719215.63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finitions"/>
      <sheetName val="Key"/>
      <sheetName val="Notes - by JH"/>
      <sheetName val="Budget Dept Recap"/>
      <sheetName val="Budget Worksheet"/>
      <sheetName val="Budget Dept Web"/>
      <sheetName val="WW Comparison"/>
      <sheetName val="Budget Trend Mar 19-Feb 20"/>
      <sheetName val="AMENDMENTS"/>
      <sheetName val="Capital Expenditures"/>
      <sheetName val="Capital Exp-Refurb (Long Term)"/>
      <sheetName val="2016"/>
      <sheetName val="Pie Chart"/>
      <sheetName val="WW Costs"/>
      <sheetName val="Salaries by Dept-3.25"/>
      <sheetName val="Capt Outlay"/>
      <sheetName val="Sheet2"/>
      <sheetName val="MWTP Costs 2015"/>
      <sheetName val="Membrane Equip Replacement"/>
      <sheetName val="Actual Trend - YTD"/>
      <sheetName val="Pay Rate Inc Trend"/>
      <sheetName val="Local Entity Increases"/>
      <sheetName val="Pay Rate Inc Trend 2"/>
      <sheetName val="Pay Rate Inc Trend 2.5"/>
      <sheetName val="Notes -FY17"/>
      <sheetName val="Amendments- FY 2017"/>
      <sheetName val="Sheet1"/>
    </sheetNames>
    <sheetDataSet>
      <sheetData sheetId="0"/>
      <sheetData sheetId="1"/>
      <sheetData sheetId="2"/>
      <sheetData sheetId="3"/>
      <sheetData sheetId="4"/>
      <sheetData sheetId="5">
        <row r="49">
          <cell r="G49">
            <v>64000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finitions"/>
      <sheetName val="Key"/>
      <sheetName val="Notes - by JH"/>
      <sheetName val="Budget Dept Recap"/>
      <sheetName val="Budget Worksheet"/>
      <sheetName val="Budget Dept Web"/>
      <sheetName val="WW Comparison"/>
      <sheetName val="Budget Trend Mar 19-Feb 20"/>
      <sheetName val="AMENDMENTS"/>
      <sheetName val="Capital Expenditures"/>
      <sheetName val="Capital Exp-Refurb (Long Term)"/>
      <sheetName val="2016"/>
      <sheetName val="Pie Chart"/>
      <sheetName val="WW Costs"/>
      <sheetName val="Salaries by Dept-3.25"/>
      <sheetName val="Capt Outlay"/>
      <sheetName val="Sheet2"/>
      <sheetName val="MWTP Costs 2015"/>
      <sheetName val="Membrane Equip Replacement"/>
      <sheetName val="Actual Trend - YTD"/>
      <sheetName val="Pay Rate Inc Trend"/>
      <sheetName val="Local Entity Increases"/>
      <sheetName val="Pay Rate Inc Trend 2"/>
      <sheetName val="Pay Rate Inc Trend 2.5"/>
      <sheetName val="Notes -FY17"/>
      <sheetName val="Amendments- FY 2017"/>
      <sheetName val="Sheet1"/>
    </sheetNames>
    <sheetDataSet>
      <sheetData sheetId="0"/>
      <sheetData sheetId="1"/>
      <sheetData sheetId="2"/>
      <sheetData sheetId="3"/>
      <sheetData sheetId="4">
        <row r="47">
          <cell r="B47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 t="str">
            <v>Water</v>
          </cell>
          <cell r="B9">
            <v>12951700</v>
          </cell>
          <cell r="C9">
            <v>0.64435677256942714</v>
          </cell>
        </row>
        <row r="10">
          <cell r="A10" t="str">
            <v>WW - Steiner Ranch</v>
          </cell>
          <cell r="B10">
            <v>2850600</v>
          </cell>
          <cell r="C10">
            <v>0.14181948438323996</v>
          </cell>
        </row>
        <row r="11">
          <cell r="A11" t="str">
            <v>WW - Flintrock</v>
          </cell>
          <cell r="B11">
            <v>1330000</v>
          </cell>
          <cell r="C11">
            <v>6.6168495835862332E-2</v>
          </cell>
        </row>
        <row r="12">
          <cell r="A12" t="str">
            <v xml:space="preserve">WW - Comanche </v>
          </cell>
          <cell r="B12">
            <v>98800</v>
          </cell>
          <cell r="C12">
            <v>4.9153739763783443E-3</v>
          </cell>
        </row>
        <row r="13">
          <cell r="A13" t="str">
            <v>WW - WTCPUA (Falconhead West)</v>
          </cell>
          <cell r="B13">
            <v>403750</v>
          </cell>
          <cell r="C13">
            <v>2.0086864807315349E-2</v>
          </cell>
        </row>
        <row r="14">
          <cell r="A14" t="str">
            <v>WW - LMUD - ( NLWV)</v>
          </cell>
          <cell r="B14">
            <v>151050</v>
          </cell>
          <cell r="C14">
            <v>7.514850598501507E-3</v>
          </cell>
        </row>
        <row r="15">
          <cell r="A15" t="str">
            <v>WW - Commander's Point</v>
          </cell>
          <cell r="B15">
            <v>64000</v>
          </cell>
          <cell r="C15">
            <v>3.184047919921195E-3</v>
          </cell>
        </row>
        <row r="16">
          <cell r="A16" t="str">
            <v>Raw Water/Reclaimed</v>
          </cell>
          <cell r="B16">
            <v>160500</v>
          </cell>
          <cell r="C16">
            <v>7.9849951741773721E-3</v>
          </cell>
        </row>
        <row r="17">
          <cell r="A17" t="str">
            <v>Solid Waste Service</v>
          </cell>
          <cell r="B17">
            <v>468200</v>
          </cell>
          <cell r="C17">
            <v>2.3293300564173492E-2</v>
          </cell>
        </row>
        <row r="18">
          <cell r="A18" t="str">
            <v>Penalties</v>
          </cell>
          <cell r="B18">
            <v>288600</v>
          </cell>
          <cell r="C18">
            <v>1.4358066088894637E-2</v>
          </cell>
        </row>
        <row r="19">
          <cell r="A19" t="str">
            <v>Other</v>
          </cell>
          <cell r="B19">
            <v>1333000</v>
          </cell>
          <cell r="C19">
            <v>6.6317748082108635E-2</v>
          </cell>
        </row>
        <row r="23">
          <cell r="A23" t="str">
            <v>Water</v>
          </cell>
          <cell r="B23">
            <v>4357800</v>
          </cell>
          <cell r="C23">
            <v>0.2215263213357786</v>
          </cell>
        </row>
        <row r="24">
          <cell r="A24" t="str">
            <v>WW - Steiner</v>
          </cell>
          <cell r="B24">
            <v>1801500</v>
          </cell>
          <cell r="C24">
            <v>9.1578243124146391E-2</v>
          </cell>
        </row>
        <row r="25">
          <cell r="A25" t="str">
            <v>WW - Flintrock</v>
          </cell>
          <cell r="B25">
            <v>452000</v>
          </cell>
          <cell r="C25">
            <v>2.2977166745553244E-2</v>
          </cell>
        </row>
        <row r="26">
          <cell r="A26" t="str">
            <v>WW - Comanche Canyon</v>
          </cell>
          <cell r="B26">
            <v>112300</v>
          </cell>
          <cell r="C26">
            <v>5.7087075785965252E-3</v>
          </cell>
        </row>
        <row r="27">
          <cell r="A27" t="str">
            <v>WW - WTCPUA (Falconhead West)</v>
          </cell>
          <cell r="B27">
            <v>407600</v>
          </cell>
          <cell r="C27">
            <v>2.0720117622759961E-2</v>
          </cell>
        </row>
        <row r="28">
          <cell r="A28" t="str">
            <v>WW - LMUD (North Lakeway Village)</v>
          </cell>
          <cell r="B28">
            <v>116800</v>
          </cell>
          <cell r="C28">
            <v>5.9374625572580064E-3</v>
          </cell>
        </row>
        <row r="29">
          <cell r="A29" t="str">
            <v>WW - Commander's Point</v>
          </cell>
          <cell r="B29">
            <v>29200</v>
          </cell>
          <cell r="C29">
            <v>1.4843656393145016E-3</v>
          </cell>
        </row>
        <row r="30">
          <cell r="A30" t="str">
            <v>Raw Water/Reclaim</v>
          </cell>
          <cell r="B30">
            <v>110000</v>
          </cell>
          <cell r="C30">
            <v>5.5917883672806567E-3</v>
          </cell>
        </row>
        <row r="31">
          <cell r="A31" t="str">
            <v>Solid Waste Service - Progressive</v>
          </cell>
          <cell r="B31">
            <v>425000</v>
          </cell>
          <cell r="C31">
            <v>2.1604636873584358E-2</v>
          </cell>
        </row>
        <row r="32">
          <cell r="A32" t="str">
            <v>Maintenance Department</v>
          </cell>
          <cell r="B32">
            <v>409000</v>
          </cell>
          <cell r="C32">
            <v>2.0791285838343533E-2</v>
          </cell>
        </row>
        <row r="33">
          <cell r="A33" t="str">
            <v>Employee Salaries &amp; Benefits</v>
          </cell>
          <cell r="B33">
            <v>6102118</v>
          </cell>
          <cell r="C33">
            <v>0.31019774952885371</v>
          </cell>
        </row>
        <row r="34">
          <cell r="A34" t="str">
            <v>Professional Svc</v>
          </cell>
          <cell r="B34">
            <v>805000</v>
          </cell>
          <cell r="C34">
            <v>4.09217239605539E-2</v>
          </cell>
        </row>
        <row r="35">
          <cell r="A35" t="str">
            <v>Expenses - Admin</v>
          </cell>
          <cell r="B35">
            <v>240684</v>
          </cell>
          <cell r="C35">
            <v>1.2235036285368888E-2</v>
          </cell>
        </row>
        <row r="36">
          <cell r="A36" t="str">
            <v>Other</v>
          </cell>
          <cell r="B36">
            <v>4302701</v>
          </cell>
          <cell r="C36">
            <v>0.21872539454260773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10" sqref="B10:K10"/>
    </sheetView>
  </sheetViews>
  <sheetFormatPr defaultRowHeight="14.4" x14ac:dyDescent="0.3"/>
  <cols>
    <col min="1" max="1" width="31.6640625" bestFit="1" customWidth="1"/>
    <col min="2" max="2" width="12.88671875" bestFit="1" customWidth="1"/>
    <col min="3" max="3" width="16.5546875" style="198" bestFit="1" customWidth="1"/>
    <col min="4" max="4" width="12.88671875" bestFit="1" customWidth="1"/>
  </cols>
  <sheetData>
    <row r="1" spans="1:5" ht="17.399999999999999" x14ac:dyDescent="0.3">
      <c r="A1" s="436" t="s">
        <v>295</v>
      </c>
      <c r="B1" s="436"/>
      <c r="C1" s="436"/>
      <c r="D1" s="436"/>
      <c r="E1" s="436"/>
    </row>
    <row r="2" spans="1:5" x14ac:dyDescent="0.3">
      <c r="A2" s="342"/>
      <c r="B2" s="343"/>
      <c r="C2" s="344"/>
      <c r="D2" s="343"/>
      <c r="E2" s="150"/>
    </row>
    <row r="3" spans="1:5" x14ac:dyDescent="0.3">
      <c r="A3" s="176"/>
      <c r="B3" s="177"/>
      <c r="C3" s="193"/>
      <c r="D3" s="177"/>
    </row>
    <row r="4" spans="1:5" x14ac:dyDescent="0.3">
      <c r="A4" s="178"/>
      <c r="B4" s="177"/>
      <c r="C4" s="193"/>
      <c r="D4" s="177"/>
    </row>
    <row r="5" spans="1:5" x14ac:dyDescent="0.3">
      <c r="A5" s="346" t="s">
        <v>146</v>
      </c>
      <c r="B5" s="183"/>
      <c r="C5" s="194"/>
      <c r="D5" s="183"/>
      <c r="E5" s="184"/>
    </row>
    <row r="6" spans="1:5" x14ac:dyDescent="0.3">
      <c r="A6" s="185"/>
      <c r="B6" s="179"/>
      <c r="C6" s="192"/>
      <c r="D6" s="179"/>
      <c r="E6" s="186"/>
    </row>
    <row r="7" spans="1:5" x14ac:dyDescent="0.3">
      <c r="A7" s="187" t="s">
        <v>299</v>
      </c>
      <c r="B7" s="179"/>
      <c r="C7" s="192">
        <f>5085494.78+3020273.71+3578.59+4325915.19+10114403.13+13109707.23</f>
        <v>35659372.629999995</v>
      </c>
      <c r="D7" s="179"/>
      <c r="E7" s="186"/>
    </row>
    <row r="8" spans="1:5" x14ac:dyDescent="0.3">
      <c r="A8" s="188" t="s">
        <v>300</v>
      </c>
      <c r="B8" s="179"/>
      <c r="C8" s="192" t="e">
        <f>#REF!</f>
        <v>#REF!</v>
      </c>
      <c r="D8" s="179"/>
      <c r="E8" s="186"/>
    </row>
    <row r="9" spans="1:5" x14ac:dyDescent="0.3">
      <c r="A9" s="188" t="s">
        <v>301</v>
      </c>
      <c r="B9" s="179"/>
      <c r="C9" s="192" t="e">
        <f>#REF!</f>
        <v>#REF!</v>
      </c>
      <c r="D9" s="179"/>
      <c r="E9" s="186"/>
    </row>
    <row r="10" spans="1:5" x14ac:dyDescent="0.3">
      <c r="A10" s="188" t="s">
        <v>302</v>
      </c>
      <c r="B10" s="179"/>
      <c r="C10" s="192">
        <f>' District Cash Flow'!E4+' District Cash Flow'!E5+' District Cash Flow'!E7+' District Cash Flow'!E10+' District Cash Flow'!E12</f>
        <v>6543290</v>
      </c>
      <c r="D10" s="179"/>
      <c r="E10" s="186"/>
    </row>
    <row r="11" spans="1:5" x14ac:dyDescent="0.3">
      <c r="A11" s="188" t="s">
        <v>303</v>
      </c>
      <c r="B11" s="179"/>
      <c r="C11" s="361">
        <f>' District Cash Flow'!E17+' District Cash Flow'!E15+' District Cash Flow'!E16+' District Cash Flow'!E14</f>
        <v>15462892.5</v>
      </c>
      <c r="D11" s="179"/>
      <c r="E11" s="186"/>
    </row>
    <row r="12" spans="1:5" x14ac:dyDescent="0.3">
      <c r="A12" s="188" t="s">
        <v>305</v>
      </c>
      <c r="B12" s="38"/>
      <c r="C12" s="195" t="e">
        <f>C7+C8-C9+C10-C11</f>
        <v>#REF!</v>
      </c>
      <c r="D12" s="357"/>
      <c r="E12" s="186"/>
    </row>
    <row r="13" spans="1:5" x14ac:dyDescent="0.3">
      <c r="A13" s="189"/>
      <c r="B13" s="38"/>
      <c r="C13" s="196"/>
      <c r="D13" s="38"/>
      <c r="E13" s="186"/>
    </row>
    <row r="14" spans="1:5" x14ac:dyDescent="0.3">
      <c r="A14" s="190" t="s">
        <v>147</v>
      </c>
      <c r="B14" s="175"/>
      <c r="C14" s="197"/>
      <c r="D14" s="175"/>
      <c r="E14" s="191"/>
    </row>
    <row r="18" spans="1:5" x14ac:dyDescent="0.3">
      <c r="A18" s="348" t="s">
        <v>148</v>
      </c>
      <c r="B18" s="183"/>
      <c r="C18" s="194"/>
      <c r="D18" s="183"/>
      <c r="E18" s="184"/>
    </row>
    <row r="19" spans="1:5" x14ac:dyDescent="0.3">
      <c r="A19" s="185"/>
      <c r="B19" s="179"/>
      <c r="C19" s="192"/>
      <c r="D19" s="179"/>
      <c r="E19" s="186"/>
    </row>
    <row r="20" spans="1:5" x14ac:dyDescent="0.3">
      <c r="A20" s="187" t="s">
        <v>299</v>
      </c>
      <c r="B20" s="179"/>
      <c r="C20" s="226">
        <f>'Debt Service Fund'!H4</f>
        <v>13124952.859999999</v>
      </c>
      <c r="D20" s="179"/>
      <c r="E20" s="186"/>
    </row>
    <row r="21" spans="1:5" x14ac:dyDescent="0.3">
      <c r="A21" s="188" t="s">
        <v>300</v>
      </c>
      <c r="B21" s="179"/>
      <c r="C21" s="226">
        <f>'Debt Service Fund'!H22-C23</f>
        <v>14403274.680000002</v>
      </c>
      <c r="D21" s="179"/>
      <c r="E21" s="186"/>
    </row>
    <row r="22" spans="1:5" x14ac:dyDescent="0.3">
      <c r="A22" s="188" t="s">
        <v>301</v>
      </c>
      <c r="B22" s="179"/>
      <c r="C22" s="410">
        <f>'Debt Service Fund'!H42-C24</f>
        <v>13185889.640000001</v>
      </c>
      <c r="D22" s="179"/>
      <c r="E22" s="186"/>
    </row>
    <row r="23" spans="1:5" x14ac:dyDescent="0.3">
      <c r="A23" s="188" t="s">
        <v>302</v>
      </c>
      <c r="B23" s="179"/>
      <c r="C23" s="226">
        <f>'Debt Service Fund'!H19</f>
        <v>2233605</v>
      </c>
      <c r="D23" s="179"/>
      <c r="E23" s="186"/>
    </row>
    <row r="24" spans="1:5" x14ac:dyDescent="0.3">
      <c r="A24" s="188" t="s">
        <v>303</v>
      </c>
      <c r="B24" s="179"/>
      <c r="C24" s="360">
        <f>'Debt Service Fund'!H40</f>
        <v>4214398</v>
      </c>
      <c r="D24" s="179"/>
      <c r="E24" s="186"/>
    </row>
    <row r="25" spans="1:5" x14ac:dyDescent="0.3">
      <c r="A25" s="188" t="s">
        <v>305</v>
      </c>
      <c r="B25" s="38"/>
      <c r="C25" s="358">
        <f>C20+C21-C22+C23-C24</f>
        <v>12361544.899999999</v>
      </c>
      <c r="D25" s="38"/>
      <c r="E25" s="186"/>
    </row>
    <row r="26" spans="1:5" x14ac:dyDescent="0.3">
      <c r="A26" s="189"/>
      <c r="B26" s="38"/>
      <c r="C26" s="196"/>
      <c r="D26" s="38"/>
      <c r="E26" s="186"/>
    </row>
    <row r="27" spans="1:5" x14ac:dyDescent="0.3">
      <c r="A27" s="190" t="s">
        <v>147</v>
      </c>
      <c r="B27" s="175"/>
      <c r="C27" s="197"/>
      <c r="D27" s="175"/>
      <c r="E27" s="191"/>
    </row>
    <row r="31" spans="1:5" x14ac:dyDescent="0.3">
      <c r="A31" s="350" t="s">
        <v>149</v>
      </c>
      <c r="B31" s="183"/>
      <c r="C31" s="194"/>
      <c r="D31" s="183"/>
      <c r="E31" s="184"/>
    </row>
    <row r="32" spans="1:5" x14ac:dyDescent="0.3">
      <c r="A32" s="185"/>
      <c r="B32" s="179"/>
      <c r="C32" s="192"/>
      <c r="D32" s="179"/>
      <c r="E32" s="186"/>
    </row>
    <row r="33" spans="1:5" x14ac:dyDescent="0.3">
      <c r="A33" s="187" t="s">
        <v>299</v>
      </c>
      <c r="B33" s="179"/>
      <c r="C33" s="411">
        <f>'Capital Projects Fund'!H4</f>
        <v>6893315.1299999999</v>
      </c>
      <c r="D33" s="179"/>
      <c r="E33" s="186"/>
    </row>
    <row r="34" spans="1:5" x14ac:dyDescent="0.3">
      <c r="A34" s="188" t="s">
        <v>300</v>
      </c>
      <c r="B34" s="179"/>
      <c r="C34" s="226">
        <f>SUM('Capital Projects Fund'!H9:H10)</f>
        <v>800000</v>
      </c>
      <c r="D34" s="179"/>
      <c r="E34" s="186"/>
    </row>
    <row r="35" spans="1:5" x14ac:dyDescent="0.3">
      <c r="A35" s="188" t="s">
        <v>301</v>
      </c>
      <c r="B35" s="179"/>
      <c r="C35" s="226">
        <f>'Capital Projects Fund'!H34</f>
        <v>12404000</v>
      </c>
      <c r="D35" s="179"/>
      <c r="E35" s="186"/>
    </row>
    <row r="36" spans="1:5" x14ac:dyDescent="0.3">
      <c r="A36" s="188" t="s">
        <v>302</v>
      </c>
      <c r="B36" s="179"/>
      <c r="C36" s="226">
        <f>'Capital Projects Fund'!H9+'Capital Projects Fund'!H10+'Capital Projects Fund'!H13+'Capital Projects Fund'!H14+'Capital Projects Fund'!H15-800000</f>
        <v>13494000</v>
      </c>
      <c r="D36" s="179"/>
      <c r="E36" s="186"/>
    </row>
    <row r="37" spans="1:5" x14ac:dyDescent="0.3">
      <c r="A37" s="188" t="s">
        <v>303</v>
      </c>
      <c r="B37" s="179"/>
      <c r="C37" s="360">
        <v>0</v>
      </c>
      <c r="D37" s="179"/>
      <c r="E37" s="186"/>
    </row>
    <row r="38" spans="1:5" x14ac:dyDescent="0.3">
      <c r="A38" s="188" t="s">
        <v>305</v>
      </c>
      <c r="B38" s="38"/>
      <c r="C38" s="359">
        <f>C33+C34+C36-C35-C37</f>
        <v>8783315.129999999</v>
      </c>
      <c r="D38" s="38"/>
      <c r="E38" s="186"/>
    </row>
    <row r="39" spans="1:5" x14ac:dyDescent="0.3">
      <c r="A39" s="189"/>
      <c r="B39" s="38"/>
      <c r="C39" s="226"/>
      <c r="D39" s="38"/>
      <c r="E39" s="186"/>
    </row>
    <row r="40" spans="1:5" x14ac:dyDescent="0.3">
      <c r="A40" s="190" t="s">
        <v>147</v>
      </c>
      <c r="B40" s="175"/>
      <c r="C40" s="197"/>
      <c r="D40" s="175"/>
      <c r="E40" s="19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3" workbookViewId="0">
      <selection activeCell="A40" activeCellId="1" sqref="H13:H16 A40"/>
    </sheetView>
  </sheetViews>
  <sheetFormatPr defaultRowHeight="14.4" x14ac:dyDescent="0.3"/>
  <cols>
    <col min="1" max="1" width="43.5546875" bestFit="1" customWidth="1"/>
    <col min="2" max="2" width="12.44140625" hidden="1" customWidth="1"/>
    <col min="3" max="3" width="16.6640625" bestFit="1" customWidth="1"/>
    <col min="4" max="4" width="12.44140625" hidden="1" customWidth="1"/>
    <col min="5" max="5" width="16.6640625" bestFit="1" customWidth="1"/>
    <col min="6" max="6" width="14.33203125" hidden="1" customWidth="1"/>
    <col min="7" max="7" width="15.6640625" hidden="1" customWidth="1"/>
    <col min="8" max="8" width="14.88671875" bestFit="1" customWidth="1"/>
    <col min="9" max="9" width="12.88671875" bestFit="1" customWidth="1"/>
  </cols>
  <sheetData>
    <row r="1" spans="1:9" x14ac:dyDescent="0.3">
      <c r="A1" s="222" t="s">
        <v>149</v>
      </c>
    </row>
    <row r="4" spans="1:9" x14ac:dyDescent="0.3">
      <c r="A4" s="7" t="s">
        <v>164</v>
      </c>
      <c r="B4" s="7"/>
      <c r="C4" s="223">
        <v>13451034.33</v>
      </c>
      <c r="D4" s="7"/>
      <c r="E4" s="223">
        <v>7962653.9299999997</v>
      </c>
      <c r="F4" s="7"/>
      <c r="G4" s="7"/>
      <c r="H4" s="223">
        <f>3893315.13+3000000</f>
        <v>6893315.1299999999</v>
      </c>
    </row>
    <row r="6" spans="1:9" x14ac:dyDescent="0.3">
      <c r="A6" s="14"/>
      <c r="B6" s="213" t="s">
        <v>142</v>
      </c>
      <c r="C6" s="214" t="s">
        <v>156</v>
      </c>
      <c r="D6" s="213" t="s">
        <v>144</v>
      </c>
      <c r="E6" s="214" t="s">
        <v>157</v>
      </c>
      <c r="F6" s="214" t="s">
        <v>143</v>
      </c>
      <c r="G6" s="213" t="s">
        <v>158</v>
      </c>
      <c r="H6" s="215" t="s">
        <v>159</v>
      </c>
      <c r="I6" s="216" t="s">
        <v>160</v>
      </c>
    </row>
    <row r="7" spans="1:9" ht="17.399999999999999" x14ac:dyDescent="0.55000000000000004">
      <c r="A7" s="14"/>
      <c r="B7" s="217" t="s">
        <v>145</v>
      </c>
      <c r="C7" s="218" t="s">
        <v>190</v>
      </c>
      <c r="D7" s="217" t="s">
        <v>145</v>
      </c>
      <c r="E7" s="218" t="s">
        <v>190</v>
      </c>
      <c r="F7" s="219" t="s">
        <v>161</v>
      </c>
      <c r="G7" s="217" t="s">
        <v>162</v>
      </c>
      <c r="H7" s="220" t="s">
        <v>163</v>
      </c>
      <c r="I7" s="221" t="s">
        <v>342</v>
      </c>
    </row>
    <row r="8" spans="1:9" x14ac:dyDescent="0.3">
      <c r="A8" s="180" t="s">
        <v>186</v>
      </c>
      <c r="B8" s="201"/>
      <c r="C8" s="202"/>
      <c r="D8" s="201"/>
      <c r="E8" s="203"/>
      <c r="F8" s="203"/>
      <c r="G8" s="201"/>
      <c r="H8" s="204"/>
      <c r="I8" s="205"/>
    </row>
    <row r="9" spans="1:9" x14ac:dyDescent="0.3">
      <c r="A9" s="182" t="s">
        <v>171</v>
      </c>
      <c r="B9" s="17"/>
      <c r="C9" s="202">
        <v>1826650</v>
      </c>
      <c r="D9" s="201"/>
      <c r="E9" s="203">
        <v>1136318</v>
      </c>
      <c r="F9" s="202"/>
      <c r="G9" s="181"/>
      <c r="H9" s="204">
        <v>800000</v>
      </c>
      <c r="I9" s="364">
        <f>(H9-E9)/E9</f>
        <v>-0.29597172622452517</v>
      </c>
    </row>
    <row r="10" spans="1:9" x14ac:dyDescent="0.3">
      <c r="A10" s="182" t="s">
        <v>172</v>
      </c>
      <c r="B10" s="201"/>
      <c r="C10" s="202">
        <v>1800200</v>
      </c>
      <c r="D10" s="201"/>
      <c r="E10" s="203">
        <v>150600</v>
      </c>
      <c r="F10" s="202"/>
      <c r="G10" s="181"/>
      <c r="H10" s="203">
        <v>0</v>
      </c>
      <c r="I10" s="364">
        <f>(H10-E10)/E10</f>
        <v>-1</v>
      </c>
    </row>
    <row r="11" spans="1:9" x14ac:dyDescent="0.3">
      <c r="A11" s="182"/>
      <c r="B11" s="201"/>
      <c r="C11" s="202"/>
      <c r="D11" s="201"/>
      <c r="E11" s="203"/>
      <c r="F11" s="202"/>
      <c r="G11" s="181"/>
      <c r="H11" s="209"/>
      <c r="I11" s="208"/>
    </row>
    <row r="12" spans="1:9" x14ac:dyDescent="0.3">
      <c r="A12" s="180" t="s">
        <v>152</v>
      </c>
      <c r="B12" s="201"/>
      <c r="C12" s="202"/>
      <c r="D12" s="201"/>
      <c r="E12" s="203"/>
      <c r="F12" s="202"/>
      <c r="G12" s="181"/>
      <c r="H12" s="209"/>
      <c r="I12" s="208"/>
    </row>
    <row r="13" spans="1:9" x14ac:dyDescent="0.3">
      <c r="A13" s="182" t="s">
        <v>180</v>
      </c>
      <c r="B13" s="201">
        <f>363000+2369000+1500000+2549573</f>
        <v>6781573</v>
      </c>
      <c r="C13" s="201">
        <f>363000+2369000+1500000+2549573</f>
        <v>6781573</v>
      </c>
      <c r="D13" s="201">
        <f>3950403+6959686+285090+393300+720+130000</f>
        <v>11719199</v>
      </c>
      <c r="E13" s="203">
        <v>0</v>
      </c>
      <c r="F13" s="202"/>
      <c r="G13" s="201"/>
      <c r="H13" s="209">
        <v>11994000</v>
      </c>
      <c r="I13" s="208" t="e">
        <f t="shared" ref="I13:I15" si="0">(H13-E13)/E13</f>
        <v>#DIV/0!</v>
      </c>
    </row>
    <row r="14" spans="1:9" x14ac:dyDescent="0.3">
      <c r="A14" s="182" t="s">
        <v>181</v>
      </c>
      <c r="B14" s="201">
        <v>526500</v>
      </c>
      <c r="C14" s="202">
        <v>543002.61</v>
      </c>
      <c r="D14" s="201">
        <v>720000</v>
      </c>
      <c r="E14" s="203">
        <v>733985</v>
      </c>
      <c r="F14" s="202"/>
      <c r="G14" s="201">
        <v>750000</v>
      </c>
      <c r="H14" s="209">
        <v>756000</v>
      </c>
      <c r="I14" s="208">
        <f t="shared" si="0"/>
        <v>2.9993800963234944E-2</v>
      </c>
    </row>
    <row r="15" spans="1:9" x14ac:dyDescent="0.3">
      <c r="A15" s="182" t="s">
        <v>182</v>
      </c>
      <c r="B15" s="202">
        <f>-B14+1500000</f>
        <v>973500</v>
      </c>
      <c r="C15" s="202">
        <f>-C14+1500000</f>
        <v>956997.39</v>
      </c>
      <c r="D15" s="202">
        <f t="shared" ref="D15:G15" si="1">-D14+1500000</f>
        <v>780000</v>
      </c>
      <c r="E15" s="202">
        <f t="shared" si="1"/>
        <v>766015</v>
      </c>
      <c r="F15" s="202"/>
      <c r="G15" s="202">
        <f t="shared" si="1"/>
        <v>750000</v>
      </c>
      <c r="H15" s="209">
        <f>1500000-H14</f>
        <v>744000</v>
      </c>
      <c r="I15" s="364">
        <f t="shared" si="0"/>
        <v>-2.8739646090481259E-2</v>
      </c>
    </row>
    <row r="16" spans="1:9" x14ac:dyDescent="0.3">
      <c r="A16" s="182"/>
      <c r="B16" s="201"/>
      <c r="C16" s="202"/>
      <c r="D16" s="201"/>
      <c r="E16" s="203"/>
      <c r="F16" s="202"/>
      <c r="G16" s="201"/>
      <c r="H16" s="209"/>
      <c r="I16" s="208"/>
    </row>
    <row r="17" spans="1:9" x14ac:dyDescent="0.3">
      <c r="A17" s="182"/>
      <c r="B17" s="201"/>
      <c r="C17" s="202"/>
      <c r="D17" s="201"/>
      <c r="E17" s="203"/>
      <c r="F17" s="202"/>
      <c r="G17" s="201"/>
      <c r="H17" s="204"/>
      <c r="I17" s="208"/>
    </row>
    <row r="18" spans="1:9" x14ac:dyDescent="0.3">
      <c r="A18" s="211" t="s">
        <v>187</v>
      </c>
      <c r="B18" s="201">
        <f t="shared" ref="B18:G18" si="2">SUM(B9:B17)</f>
        <v>8281573</v>
      </c>
      <c r="C18" s="201">
        <f t="shared" si="2"/>
        <v>11908423</v>
      </c>
      <c r="D18" s="201">
        <f t="shared" si="2"/>
        <v>13219199</v>
      </c>
      <c r="E18" s="201">
        <f t="shared" si="2"/>
        <v>2786918</v>
      </c>
      <c r="F18" s="201">
        <f t="shared" si="2"/>
        <v>0</v>
      </c>
      <c r="G18" s="201">
        <f t="shared" si="2"/>
        <v>1500000</v>
      </c>
      <c r="H18" s="204">
        <f>SUM(H9:H17)</f>
        <v>14294000</v>
      </c>
      <c r="I18" s="208"/>
    </row>
    <row r="19" spans="1:9" x14ac:dyDescent="0.3">
      <c r="A19" s="182"/>
      <c r="B19" s="201"/>
      <c r="C19" s="202"/>
      <c r="D19" s="201"/>
      <c r="E19" s="203"/>
      <c r="F19" s="203"/>
      <c r="G19" s="201"/>
      <c r="H19" s="204"/>
      <c r="I19" s="208"/>
    </row>
    <row r="20" spans="1:9" x14ac:dyDescent="0.3">
      <c r="A20" s="180" t="s">
        <v>184</v>
      </c>
      <c r="B20" s="201"/>
      <c r="C20" s="202"/>
      <c r="D20" s="201"/>
      <c r="E20" s="203"/>
      <c r="F20" s="203"/>
      <c r="G20" s="201"/>
      <c r="H20" s="204"/>
      <c r="I20" s="208"/>
    </row>
    <row r="21" spans="1:9" x14ac:dyDescent="0.3">
      <c r="A21" s="182" t="s">
        <v>179</v>
      </c>
      <c r="B21" s="201"/>
      <c r="C21" s="202">
        <v>673136.98</v>
      </c>
      <c r="D21" s="201"/>
      <c r="E21" s="203">
        <v>348599.29</v>
      </c>
      <c r="F21" s="202"/>
      <c r="G21" s="201"/>
      <c r="H21" s="209">
        <v>1384000</v>
      </c>
      <c r="I21" s="208">
        <f t="shared" ref="I21:I28" si="3">(H21-E21)/E21</f>
        <v>2.97017446593193</v>
      </c>
    </row>
    <row r="22" spans="1:9" x14ac:dyDescent="0.3">
      <c r="A22" s="182" t="s">
        <v>175</v>
      </c>
      <c r="B22" s="201"/>
      <c r="C22" s="202">
        <v>1158256.07</v>
      </c>
      <c r="D22" s="201"/>
      <c r="E22" s="203">
        <v>217248.3</v>
      </c>
      <c r="F22" s="202"/>
      <c r="G22" s="201"/>
      <c r="H22" s="209">
        <v>10051000</v>
      </c>
      <c r="I22" s="208">
        <f t="shared" si="3"/>
        <v>45.265034064708445</v>
      </c>
    </row>
    <row r="23" spans="1:9" x14ac:dyDescent="0.3">
      <c r="A23" s="182" t="s">
        <v>176</v>
      </c>
      <c r="B23" s="201"/>
      <c r="C23" s="202">
        <v>0</v>
      </c>
      <c r="D23" s="201"/>
      <c r="E23" s="203">
        <v>0</v>
      </c>
      <c r="F23" s="202"/>
      <c r="G23" s="201"/>
      <c r="H23" s="204">
        <f>'Capital Project Cash Flow'!K50</f>
        <v>385000</v>
      </c>
      <c r="I23" s="208" t="e">
        <f t="shared" si="3"/>
        <v>#DIV/0!</v>
      </c>
    </row>
    <row r="24" spans="1:9" x14ac:dyDescent="0.3">
      <c r="A24" s="182" t="s">
        <v>177</v>
      </c>
      <c r="B24" s="201"/>
      <c r="C24" s="202">
        <v>0</v>
      </c>
      <c r="D24" s="201"/>
      <c r="E24" s="203">
        <v>0</v>
      </c>
      <c r="F24" s="202"/>
      <c r="G24" s="201"/>
      <c r="H24" s="203">
        <v>0</v>
      </c>
      <c r="I24" s="208" t="e">
        <f t="shared" si="3"/>
        <v>#DIV/0!</v>
      </c>
    </row>
    <row r="25" spans="1:9" x14ac:dyDescent="0.3">
      <c r="A25" s="182" t="s">
        <v>348</v>
      </c>
      <c r="B25" s="201"/>
      <c r="C25" s="202">
        <v>0</v>
      </c>
      <c r="D25" s="201"/>
      <c r="E25" s="203">
        <v>0</v>
      </c>
      <c r="F25" s="202"/>
      <c r="G25" s="201"/>
      <c r="H25" s="204">
        <f>'Capital Project Cash Flow'!K25</f>
        <v>584000</v>
      </c>
      <c r="I25" s="208" t="e">
        <f t="shared" si="3"/>
        <v>#DIV/0!</v>
      </c>
    </row>
    <row r="26" spans="1:9" x14ac:dyDescent="0.3">
      <c r="A26" s="182" t="s">
        <v>173</v>
      </c>
      <c r="B26" s="201"/>
      <c r="C26" s="202">
        <v>56590.65</v>
      </c>
      <c r="D26" s="201"/>
      <c r="E26" s="203">
        <v>53765.36</v>
      </c>
      <c r="F26" s="202"/>
      <c r="G26" s="201"/>
      <c r="H26" s="204">
        <v>0</v>
      </c>
      <c r="I26" s="208">
        <f t="shared" si="3"/>
        <v>-1</v>
      </c>
    </row>
    <row r="27" spans="1:9" x14ac:dyDescent="0.3">
      <c r="A27" s="182" t="s">
        <v>178</v>
      </c>
      <c r="B27" s="201"/>
      <c r="C27" s="202">
        <v>0</v>
      </c>
      <c r="D27" s="201"/>
      <c r="E27" s="203">
        <v>0</v>
      </c>
      <c r="F27" s="202"/>
      <c r="G27" s="201"/>
      <c r="H27" s="204">
        <v>0</v>
      </c>
      <c r="I27" s="208" t="e">
        <f t="shared" si="3"/>
        <v>#DIV/0!</v>
      </c>
    </row>
    <row r="28" spans="1:9" x14ac:dyDescent="0.3">
      <c r="A28" s="224" t="s">
        <v>174</v>
      </c>
      <c r="B28" s="201"/>
      <c r="C28" s="202">
        <v>145643.54999999999</v>
      </c>
      <c r="D28" s="201"/>
      <c r="E28" s="203">
        <v>1172718.6000000001</v>
      </c>
      <c r="F28" s="202"/>
      <c r="G28" s="210"/>
      <c r="H28" s="203">
        <v>0</v>
      </c>
      <c r="I28" s="364">
        <f t="shared" si="3"/>
        <v>-1</v>
      </c>
    </row>
    <row r="29" spans="1:9" x14ac:dyDescent="0.3">
      <c r="A29" s="224"/>
      <c r="B29" s="201"/>
      <c r="C29" s="202"/>
      <c r="D29" s="201"/>
      <c r="E29" s="203"/>
      <c r="F29" s="202"/>
      <c r="G29" s="210"/>
      <c r="H29" s="209"/>
      <c r="I29" s="208"/>
    </row>
    <row r="30" spans="1:9" x14ac:dyDescent="0.3">
      <c r="A30" s="180" t="s">
        <v>185</v>
      </c>
      <c r="B30" s="201"/>
      <c r="C30" s="202"/>
      <c r="D30" s="201"/>
      <c r="E30" s="203"/>
      <c r="F30" s="202"/>
      <c r="G30" s="210"/>
      <c r="H30" s="209"/>
      <c r="I30" s="208"/>
    </row>
    <row r="31" spans="1:9" x14ac:dyDescent="0.3">
      <c r="A31" s="182" t="s">
        <v>183</v>
      </c>
      <c r="B31" s="201"/>
      <c r="C31" s="202">
        <v>0</v>
      </c>
      <c r="D31" s="201"/>
      <c r="E31" s="203">
        <v>0</v>
      </c>
      <c r="F31" s="202"/>
      <c r="G31" s="210"/>
      <c r="H31" s="203">
        <v>0</v>
      </c>
      <c r="I31" s="208" t="e">
        <f>(H31-E31)/E31</f>
        <v>#DIV/0!</v>
      </c>
    </row>
    <row r="32" spans="1:9" x14ac:dyDescent="0.3">
      <c r="A32" s="182"/>
      <c r="B32" s="201"/>
      <c r="C32" s="202"/>
      <c r="D32" s="201"/>
      <c r="E32" s="203"/>
      <c r="F32" s="202"/>
      <c r="G32" s="210"/>
      <c r="H32" s="209"/>
      <c r="I32" s="208"/>
    </row>
    <row r="33" spans="1:9" x14ac:dyDescent="0.3">
      <c r="A33" s="182"/>
      <c r="B33" s="201"/>
      <c r="C33" s="202"/>
      <c r="D33" s="201"/>
      <c r="E33" s="203"/>
      <c r="F33" s="202"/>
      <c r="G33" s="201"/>
      <c r="H33" s="209"/>
      <c r="I33" s="208"/>
    </row>
    <row r="34" spans="1:9" x14ac:dyDescent="0.3">
      <c r="A34" s="211" t="s">
        <v>188</v>
      </c>
      <c r="B34" s="201">
        <f t="shared" ref="B34" si="4">SUM(B22:B33)</f>
        <v>0</v>
      </c>
      <c r="C34" s="203">
        <f t="shared" ref="C34:H34" si="5">SUM(C21:C33)</f>
        <v>2033627.25</v>
      </c>
      <c r="D34" s="203">
        <f t="shared" si="5"/>
        <v>0</v>
      </c>
      <c r="E34" s="203">
        <f t="shared" si="5"/>
        <v>1792331.55</v>
      </c>
      <c r="F34" s="203">
        <f t="shared" si="5"/>
        <v>0</v>
      </c>
      <c r="G34" s="203">
        <f t="shared" si="5"/>
        <v>0</v>
      </c>
      <c r="H34" s="203">
        <f t="shared" si="5"/>
        <v>12404000</v>
      </c>
      <c r="I34" s="208">
        <f>(H34-E34)/E34</f>
        <v>5.9205945741456141</v>
      </c>
    </row>
    <row r="35" spans="1:9" x14ac:dyDescent="0.3">
      <c r="A35" s="182"/>
      <c r="B35" s="201"/>
      <c r="C35" s="202"/>
      <c r="D35" s="201"/>
      <c r="E35" s="203"/>
      <c r="F35" s="203"/>
      <c r="G35" s="201"/>
      <c r="H35" s="204"/>
      <c r="I35" s="205"/>
    </row>
    <row r="36" spans="1:9" x14ac:dyDescent="0.3">
      <c r="A36" s="211" t="s">
        <v>154</v>
      </c>
      <c r="B36" s="212">
        <f>B18-B34</f>
        <v>8281573</v>
      </c>
      <c r="C36" s="212">
        <f>C18-C34+C4</f>
        <v>23325830.079999998</v>
      </c>
      <c r="D36" s="212">
        <f>D18-D34</f>
        <v>13219199</v>
      </c>
      <c r="E36" s="212">
        <f>E18-E34+E4</f>
        <v>8957240.379999999</v>
      </c>
      <c r="F36" s="212">
        <f>F18-F34</f>
        <v>0</v>
      </c>
      <c r="G36" s="212">
        <f>G18-G34</f>
        <v>1500000</v>
      </c>
      <c r="H36" s="212">
        <f>H18-H34+H4</f>
        <v>8783315.129999999</v>
      </c>
      <c r="I36" s="208">
        <f>(H36-E36)/E36</f>
        <v>-1.9417280615617465E-2</v>
      </c>
    </row>
  </sheetData>
  <pageMargins left="0.2" right="0.2" top="0.75" bottom="0.25" header="0.3" footer="0.3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view="pageBreakPreview" zoomScale="80" zoomScaleNormal="100" zoomScaleSheetLayoutView="80" workbookViewId="0">
      <pane xSplit="6" topLeftCell="W1" activePane="topRight" state="frozen"/>
      <selection activeCell="A40" activeCellId="1" sqref="H13:H16 A40"/>
      <selection pane="topRight" activeCell="A40" activeCellId="1" sqref="H13:H16 A40"/>
    </sheetView>
  </sheetViews>
  <sheetFormatPr defaultRowHeight="14.4" x14ac:dyDescent="0.3"/>
  <cols>
    <col min="1" max="1" width="24.33203125" customWidth="1"/>
    <col min="6" max="6" width="15.33203125" customWidth="1"/>
    <col min="7" max="7" width="15.6640625" customWidth="1"/>
    <col min="9" max="9" width="18.33203125" style="48" hidden="1" customWidth="1"/>
    <col min="10" max="10" width="0" hidden="1" customWidth="1"/>
    <col min="11" max="11" width="18.33203125" style="49" customWidth="1"/>
    <col min="12" max="12" width="5.109375" customWidth="1"/>
    <col min="13" max="13" width="18.33203125" style="50" customWidth="1"/>
    <col min="14" max="14" width="5.109375" customWidth="1"/>
    <col min="15" max="15" width="18.33203125" style="51" customWidth="1"/>
    <col min="16" max="16" width="5.109375" customWidth="1"/>
    <col min="17" max="17" width="20.33203125" style="52" customWidth="1"/>
    <col min="18" max="18" width="5.109375" style="53" customWidth="1"/>
    <col min="19" max="19" width="19.33203125" style="54" customWidth="1"/>
    <col min="20" max="20" width="5.109375" customWidth="1"/>
    <col min="21" max="21" width="19.33203125" style="49" customWidth="1"/>
    <col min="22" max="22" width="5.109375" customWidth="1"/>
    <col min="23" max="23" width="19" style="55" customWidth="1"/>
    <col min="24" max="24" width="5.109375" customWidth="1"/>
    <col min="25" max="25" width="19.5546875" style="56" customWidth="1"/>
    <col min="26" max="26" width="5.109375" customWidth="1"/>
    <col min="27" max="27" width="19.6640625" style="57" customWidth="1"/>
    <col min="28" max="28" width="5.109375" customWidth="1"/>
    <col min="29" max="29" width="19.33203125" style="58" customWidth="1"/>
    <col min="30" max="30" width="5.109375" customWidth="1"/>
    <col min="31" max="31" width="20.44140625" style="51" customWidth="1"/>
    <col min="32" max="32" width="5.109375" customWidth="1"/>
    <col min="33" max="33" width="21.6640625" style="52" customWidth="1"/>
    <col min="34" max="34" width="9.109375" style="53"/>
    <col min="35" max="35" width="18" style="54" customWidth="1"/>
  </cols>
  <sheetData>
    <row r="1" spans="1:35" x14ac:dyDescent="0.3">
      <c r="A1" s="439" t="s">
        <v>275</v>
      </c>
      <c r="B1" s="439"/>
      <c r="C1" s="439"/>
      <c r="D1" s="439"/>
      <c r="E1" s="439"/>
      <c r="F1" s="439"/>
      <c r="G1" s="439"/>
    </row>
    <row r="2" spans="1:35" ht="15.6" x14ac:dyDescent="0.3">
      <c r="A2" s="439"/>
      <c r="B2" s="439"/>
      <c r="C2" s="439"/>
      <c r="D2" s="439"/>
      <c r="E2" s="439"/>
      <c r="F2" s="439"/>
      <c r="G2" s="439"/>
      <c r="I2" s="60" t="s">
        <v>8</v>
      </c>
      <c r="J2" s="59"/>
      <c r="K2" s="61" t="s">
        <v>9</v>
      </c>
      <c r="L2" s="59"/>
      <c r="M2" s="62" t="s">
        <v>10</v>
      </c>
      <c r="N2" s="59"/>
      <c r="O2" s="63" t="s">
        <v>11</v>
      </c>
      <c r="Q2" s="64" t="s">
        <v>14</v>
      </c>
      <c r="S2" s="65" t="s">
        <v>16</v>
      </c>
      <c r="U2" s="61" t="s">
        <v>17</v>
      </c>
      <c r="W2" s="66" t="s">
        <v>18</v>
      </c>
      <c r="Y2" s="67" t="s">
        <v>19</v>
      </c>
      <c r="AA2" s="68" t="s">
        <v>77</v>
      </c>
      <c r="AC2" s="69" t="s">
        <v>78</v>
      </c>
      <c r="AE2" s="63" t="s">
        <v>116</v>
      </c>
      <c r="AG2" s="64" t="s">
        <v>117</v>
      </c>
      <c r="AI2" s="65" t="s">
        <v>118</v>
      </c>
    </row>
    <row r="3" spans="1:35" s="47" customFormat="1" ht="18" x14ac:dyDescent="0.35">
      <c r="B3" s="155" t="s">
        <v>120</v>
      </c>
      <c r="C3" s="155"/>
      <c r="D3" s="155"/>
      <c r="E3" s="155"/>
      <c r="I3" s="70"/>
      <c r="K3" s="71"/>
      <c r="M3" s="72"/>
      <c r="O3" s="73"/>
      <c r="Q3" s="52"/>
      <c r="R3" s="53"/>
      <c r="S3" s="74"/>
      <c r="U3" s="71"/>
      <c r="W3" s="75"/>
      <c r="Y3" s="76"/>
      <c r="AA3" s="77"/>
      <c r="AC3" s="78"/>
      <c r="AE3" s="73"/>
      <c r="AG3" s="52"/>
      <c r="AH3" s="53"/>
      <c r="AI3" s="74"/>
    </row>
    <row r="4" spans="1:35" s="47" customFormat="1" ht="18" x14ac:dyDescent="0.35">
      <c r="B4" s="155"/>
      <c r="C4" s="155"/>
      <c r="D4" s="155"/>
      <c r="E4" s="155"/>
      <c r="I4" s="70"/>
      <c r="K4" s="71"/>
      <c r="M4" s="72"/>
      <c r="O4" s="73"/>
      <c r="Q4" s="52"/>
      <c r="R4" s="53"/>
      <c r="S4" s="74"/>
      <c r="U4" s="71"/>
      <c r="W4" s="75"/>
      <c r="Y4" s="76"/>
      <c r="AA4" s="77"/>
      <c r="AC4" s="78"/>
      <c r="AE4" s="73"/>
      <c r="AG4" s="52"/>
      <c r="AH4" s="53"/>
      <c r="AI4" s="74"/>
    </row>
    <row r="5" spans="1:35" s="47" customFormat="1" ht="18" x14ac:dyDescent="0.35">
      <c r="A5" s="47" t="s">
        <v>276</v>
      </c>
      <c r="B5" s="47" t="s">
        <v>121</v>
      </c>
      <c r="C5" s="155"/>
      <c r="D5" s="155"/>
      <c r="E5" s="155"/>
      <c r="G5" s="47" t="s">
        <v>277</v>
      </c>
      <c r="I5" s="70"/>
      <c r="K5" s="71"/>
      <c r="M5" s="72"/>
      <c r="O5" s="73"/>
      <c r="Q5" s="52"/>
      <c r="R5" s="53"/>
      <c r="S5" s="74"/>
      <c r="U5" s="71"/>
      <c r="W5" s="75"/>
      <c r="Y5" s="76"/>
      <c r="AA5" s="77"/>
      <c r="AC5" s="78"/>
      <c r="AE5" s="73"/>
      <c r="AG5" s="52"/>
      <c r="AH5" s="53"/>
      <c r="AI5" s="74"/>
    </row>
    <row r="6" spans="1:35" s="88" customFormat="1" x14ac:dyDescent="0.3">
      <c r="A6" s="6" t="s">
        <v>349</v>
      </c>
      <c r="B6" s="160" t="s">
        <v>86</v>
      </c>
      <c r="C6" s="161"/>
      <c r="D6" s="161"/>
      <c r="E6" s="161"/>
      <c r="F6" s="161"/>
      <c r="G6" s="250">
        <v>200000</v>
      </c>
      <c r="H6" s="161"/>
      <c r="I6" s="79">
        <v>200000</v>
      </c>
      <c r="J6" s="250"/>
      <c r="K6" s="80"/>
      <c r="L6" s="250"/>
      <c r="M6" s="81"/>
      <c r="N6" s="250"/>
      <c r="O6" s="82"/>
      <c r="P6" s="161"/>
      <c r="Q6" s="84"/>
      <c r="R6" s="251"/>
      <c r="S6" s="86"/>
      <c r="T6" s="162"/>
      <c r="U6" s="80"/>
      <c r="V6" s="163"/>
      <c r="W6" s="81"/>
      <c r="X6" s="163"/>
      <c r="Y6" s="87"/>
      <c r="Z6" s="164"/>
      <c r="AA6" s="89"/>
      <c r="AB6" s="164"/>
      <c r="AC6" s="90"/>
      <c r="AD6" s="164"/>
      <c r="AE6" s="82"/>
      <c r="AF6" s="83"/>
      <c r="AG6" s="84"/>
      <c r="AH6" s="85"/>
      <c r="AI6" s="86"/>
    </row>
    <row r="7" spans="1:35" s="88" customFormat="1" x14ac:dyDescent="0.3">
      <c r="A7" s="6" t="s">
        <v>349</v>
      </c>
      <c r="B7" s="160" t="s">
        <v>87</v>
      </c>
      <c r="C7" s="161"/>
      <c r="D7" s="161"/>
      <c r="E7" s="161"/>
      <c r="F7" s="161"/>
      <c r="G7" s="250">
        <v>9000000</v>
      </c>
      <c r="H7" s="161"/>
      <c r="I7" s="79">
        <v>150000</v>
      </c>
      <c r="J7" s="250"/>
      <c r="K7" s="80">
        <v>25000</v>
      </c>
      <c r="L7" s="250"/>
      <c r="M7" s="81">
        <v>25000</v>
      </c>
      <c r="N7" s="250"/>
      <c r="O7" s="82">
        <v>200000</v>
      </c>
      <c r="P7" s="161"/>
      <c r="Q7" s="84">
        <v>3000000</v>
      </c>
      <c r="R7" s="251"/>
      <c r="S7" s="86">
        <v>3000000</v>
      </c>
      <c r="T7" s="162"/>
      <c r="U7" s="80">
        <v>2750000</v>
      </c>
      <c r="V7" s="163"/>
      <c r="W7" s="81"/>
      <c r="X7" s="163"/>
      <c r="Y7" s="87"/>
      <c r="Z7" s="164"/>
      <c r="AA7" s="89"/>
      <c r="AB7" s="164"/>
      <c r="AC7" s="90"/>
      <c r="AD7" s="164"/>
      <c r="AE7" s="82"/>
      <c r="AF7" s="83"/>
      <c r="AG7" s="84"/>
      <c r="AH7" s="85"/>
      <c r="AI7" s="86"/>
    </row>
    <row r="8" spans="1:35" s="88" customFormat="1" x14ac:dyDescent="0.3">
      <c r="A8" s="252" t="s">
        <v>279</v>
      </c>
      <c r="B8" s="160" t="s">
        <v>88</v>
      </c>
      <c r="C8" s="161"/>
      <c r="D8" s="161"/>
      <c r="E8" s="161"/>
      <c r="F8" s="161"/>
      <c r="G8" s="250">
        <v>742000</v>
      </c>
      <c r="H8" s="161"/>
      <c r="I8" s="79">
        <v>0</v>
      </c>
      <c r="J8" s="250"/>
      <c r="K8" s="80">
        <v>100000</v>
      </c>
      <c r="L8" s="250"/>
      <c r="M8" s="81">
        <v>300000</v>
      </c>
      <c r="N8" s="250"/>
      <c r="O8" s="82">
        <v>342000</v>
      </c>
      <c r="P8" s="161"/>
      <c r="Q8" s="84"/>
      <c r="R8" s="251"/>
      <c r="S8" s="86"/>
      <c r="T8" s="162"/>
      <c r="U8" s="80"/>
      <c r="V8" s="163"/>
      <c r="W8" s="81"/>
      <c r="X8" s="163"/>
      <c r="Y8" s="87"/>
      <c r="Z8" s="164"/>
      <c r="AA8" s="89"/>
      <c r="AB8" s="164"/>
      <c r="AC8" s="90"/>
      <c r="AD8" s="164"/>
      <c r="AE8" s="82"/>
      <c r="AF8" s="83"/>
      <c r="AG8" s="84"/>
      <c r="AH8" s="85"/>
      <c r="AI8" s="86"/>
    </row>
    <row r="9" spans="1:35" s="88" customFormat="1" ht="18" customHeight="1" x14ac:dyDescent="0.3">
      <c r="A9" s="252" t="s">
        <v>279</v>
      </c>
      <c r="B9" s="160" t="s">
        <v>350</v>
      </c>
      <c r="C9" s="161"/>
      <c r="D9" s="161"/>
      <c r="E9" s="161"/>
      <c r="F9" s="161"/>
      <c r="G9" s="250">
        <v>700000</v>
      </c>
      <c r="H9" s="161"/>
      <c r="I9" s="79"/>
      <c r="J9" s="250"/>
      <c r="K9" s="80">
        <v>80000</v>
      </c>
      <c r="L9" s="250"/>
      <c r="M9" s="81">
        <v>420000</v>
      </c>
      <c r="N9" s="250"/>
      <c r="O9" s="82">
        <v>200000</v>
      </c>
      <c r="P9" s="161"/>
      <c r="Q9" s="84"/>
      <c r="R9" s="251"/>
      <c r="S9" s="86"/>
      <c r="T9" s="162"/>
      <c r="U9" s="80"/>
      <c r="V9" s="163"/>
      <c r="W9" s="81"/>
      <c r="X9" s="163"/>
      <c r="Y9" s="87"/>
      <c r="Z9" s="164"/>
      <c r="AA9" s="89"/>
      <c r="AB9" s="164"/>
      <c r="AC9" s="90"/>
      <c r="AD9" s="164"/>
      <c r="AE9" s="82"/>
      <c r="AF9" s="83"/>
      <c r="AG9" s="84"/>
      <c r="AH9" s="85"/>
      <c r="AI9" s="86"/>
    </row>
    <row r="10" spans="1:35" s="88" customFormat="1" x14ac:dyDescent="0.3">
      <c r="A10" s="252" t="s">
        <v>279</v>
      </c>
      <c r="B10" s="160" t="s">
        <v>352</v>
      </c>
      <c r="C10" s="161"/>
      <c r="D10" s="161"/>
      <c r="E10" s="161"/>
      <c r="F10" s="161"/>
      <c r="G10" s="250">
        <v>3721000</v>
      </c>
      <c r="H10" s="161"/>
      <c r="I10" s="79">
        <v>100000</v>
      </c>
      <c r="J10" s="250"/>
      <c r="K10" s="80">
        <v>100000</v>
      </c>
      <c r="L10" s="250"/>
      <c r="M10" s="81">
        <v>100000</v>
      </c>
      <c r="N10" s="250"/>
      <c r="O10" s="82">
        <v>500000</v>
      </c>
      <c r="P10" s="161"/>
      <c r="Q10" s="84">
        <v>1560000</v>
      </c>
      <c r="R10" s="251"/>
      <c r="S10" s="86">
        <v>1300000</v>
      </c>
      <c r="T10" s="162"/>
      <c r="U10" s="80">
        <v>161000</v>
      </c>
      <c r="V10" s="163"/>
      <c r="W10" s="81"/>
      <c r="X10" s="163"/>
      <c r="Y10" s="87"/>
      <c r="Z10" s="164"/>
      <c r="AA10" s="89"/>
      <c r="AB10" s="164"/>
      <c r="AC10" s="90"/>
      <c r="AD10" s="164"/>
      <c r="AE10" s="82"/>
      <c r="AF10" s="83"/>
      <c r="AG10" s="84"/>
      <c r="AH10" s="85"/>
      <c r="AI10" s="86"/>
    </row>
    <row r="11" spans="1:35" s="88" customFormat="1" x14ac:dyDescent="0.3">
      <c r="A11" s="252" t="s">
        <v>279</v>
      </c>
      <c r="B11" s="160" t="s">
        <v>354</v>
      </c>
      <c r="C11" s="161"/>
      <c r="D11" s="161"/>
      <c r="E11" s="161"/>
      <c r="F11" s="161"/>
      <c r="G11" s="250">
        <v>6094000</v>
      </c>
      <c r="H11" s="161"/>
      <c r="I11" s="79"/>
      <c r="J11" s="250"/>
      <c r="K11" s="80"/>
      <c r="L11" s="250"/>
      <c r="M11" s="81">
        <v>264000</v>
      </c>
      <c r="N11" s="250"/>
      <c r="O11" s="82">
        <v>500000</v>
      </c>
      <c r="P11" s="161"/>
      <c r="Q11" s="84">
        <v>2500000</v>
      </c>
      <c r="R11" s="251"/>
      <c r="S11" s="86">
        <v>1830000</v>
      </c>
      <c r="T11" s="162"/>
      <c r="U11" s="80">
        <v>1000000</v>
      </c>
      <c r="V11" s="163"/>
      <c r="W11" s="81"/>
      <c r="X11" s="163"/>
      <c r="Y11" s="87"/>
      <c r="Z11" s="164"/>
      <c r="AA11" s="89"/>
      <c r="AB11" s="164"/>
      <c r="AC11" s="90"/>
      <c r="AD11" s="164"/>
      <c r="AE11" s="82"/>
      <c r="AF11" s="83"/>
      <c r="AG11" s="84"/>
      <c r="AH11" s="85"/>
      <c r="AI11" s="86"/>
    </row>
    <row r="12" spans="1:35" s="88" customFormat="1" x14ac:dyDescent="0.3">
      <c r="A12" s="252" t="s">
        <v>279</v>
      </c>
      <c r="B12" s="160" t="s">
        <v>353</v>
      </c>
      <c r="C12" s="161"/>
      <c r="D12" s="161"/>
      <c r="E12" s="161"/>
      <c r="F12" s="161"/>
      <c r="G12" s="250">
        <v>481000</v>
      </c>
      <c r="H12" s="161"/>
      <c r="I12" s="79"/>
      <c r="J12" s="250"/>
      <c r="K12" s="80"/>
      <c r="L12" s="250"/>
      <c r="M12" s="81">
        <v>21000</v>
      </c>
      <c r="N12" s="250"/>
      <c r="O12" s="82">
        <v>150000</v>
      </c>
      <c r="P12" s="161"/>
      <c r="Q12" s="84">
        <v>250000</v>
      </c>
      <c r="R12" s="251"/>
      <c r="S12" s="86">
        <v>60000</v>
      </c>
      <c r="T12" s="162"/>
      <c r="U12" s="80"/>
      <c r="V12" s="163"/>
      <c r="W12" s="81"/>
      <c r="X12" s="163"/>
      <c r="Y12" s="87"/>
      <c r="Z12" s="164"/>
      <c r="AA12" s="89"/>
      <c r="AB12" s="164"/>
      <c r="AC12" s="90"/>
      <c r="AD12" s="164"/>
      <c r="AE12" s="82"/>
      <c r="AF12" s="83"/>
      <c r="AG12" s="84"/>
      <c r="AH12" s="85"/>
      <c r="AI12" s="86"/>
    </row>
    <row r="13" spans="1:35" s="94" customFormat="1" x14ac:dyDescent="0.3">
      <c r="A13" s="6" t="s">
        <v>279</v>
      </c>
      <c r="B13" s="160" t="s">
        <v>89</v>
      </c>
      <c r="C13" s="161"/>
      <c r="D13" s="161"/>
      <c r="E13" s="161"/>
      <c r="F13" s="161"/>
      <c r="G13" s="413">
        <v>7127000</v>
      </c>
      <c r="H13" s="92"/>
      <c r="I13" s="79">
        <v>727000</v>
      </c>
      <c r="J13" s="91"/>
      <c r="K13" s="80">
        <v>3420000</v>
      </c>
      <c r="L13" s="91"/>
      <c r="M13" s="81">
        <v>3000000</v>
      </c>
      <c r="N13" s="91"/>
      <c r="O13" s="82">
        <v>707000</v>
      </c>
      <c r="P13" s="92"/>
      <c r="Q13" s="84"/>
      <c r="R13" s="93"/>
      <c r="S13" s="86"/>
      <c r="T13" s="165"/>
      <c r="U13" s="80"/>
      <c r="V13" s="166"/>
      <c r="W13" s="81"/>
      <c r="X13" s="166"/>
      <c r="Y13" s="87"/>
      <c r="Z13" s="166"/>
      <c r="AA13" s="89"/>
      <c r="AB13" s="166"/>
      <c r="AC13" s="90"/>
      <c r="AD13" s="166"/>
      <c r="AE13" s="82"/>
      <c r="AF13" s="92"/>
      <c r="AG13" s="84"/>
      <c r="AH13" s="93"/>
      <c r="AI13" s="86"/>
    </row>
    <row r="14" spans="1:35" s="94" customFormat="1" x14ac:dyDescent="0.3">
      <c r="A14" s="6" t="s">
        <v>279</v>
      </c>
      <c r="B14" s="160" t="s">
        <v>90</v>
      </c>
      <c r="C14" s="161"/>
      <c r="D14" s="161"/>
      <c r="E14" s="161"/>
      <c r="F14" s="161"/>
      <c r="G14" s="413">
        <v>2406000</v>
      </c>
      <c r="H14" s="92"/>
      <c r="I14" s="79"/>
      <c r="J14" s="91"/>
      <c r="K14" s="80">
        <v>1406000</v>
      </c>
      <c r="L14" s="91"/>
      <c r="M14" s="81">
        <v>1000000</v>
      </c>
      <c r="N14" s="91"/>
      <c r="O14" s="82"/>
      <c r="P14" s="92"/>
      <c r="Q14" s="84"/>
      <c r="R14" s="93"/>
      <c r="S14" s="86"/>
      <c r="T14" s="165"/>
      <c r="U14" s="80"/>
      <c r="V14" s="166"/>
      <c r="W14" s="81"/>
      <c r="X14" s="166"/>
      <c r="Y14" s="87"/>
      <c r="Z14" s="166"/>
      <c r="AA14" s="89"/>
      <c r="AB14" s="166"/>
      <c r="AC14" s="90"/>
      <c r="AD14" s="166"/>
      <c r="AE14" s="82"/>
      <c r="AF14" s="92"/>
      <c r="AG14" s="84"/>
      <c r="AH14" s="93"/>
      <c r="AI14" s="86"/>
    </row>
    <row r="15" spans="1:35" s="94" customFormat="1" x14ac:dyDescent="0.3">
      <c r="A15" s="6" t="s">
        <v>279</v>
      </c>
      <c r="B15" s="39" t="s">
        <v>91</v>
      </c>
      <c r="C15" s="92"/>
      <c r="D15" s="92"/>
      <c r="E15" s="92"/>
      <c r="F15" s="92"/>
      <c r="G15" s="253">
        <v>1631000</v>
      </c>
      <c r="H15" s="92"/>
      <c r="I15" s="79"/>
      <c r="J15" s="91"/>
      <c r="K15" s="80"/>
      <c r="L15" s="91"/>
      <c r="M15" s="81"/>
      <c r="N15" s="91"/>
      <c r="O15" s="82"/>
      <c r="P15" s="92"/>
      <c r="Q15" s="84"/>
      <c r="R15" s="93"/>
      <c r="S15" s="86"/>
      <c r="T15" s="165"/>
      <c r="U15" s="80">
        <v>815500</v>
      </c>
      <c r="V15" s="166"/>
      <c r="W15" s="81">
        <v>815500</v>
      </c>
      <c r="X15" s="166"/>
      <c r="Y15" s="87"/>
      <c r="Z15" s="166"/>
      <c r="AA15" s="89"/>
      <c r="AB15" s="166"/>
      <c r="AC15" s="90"/>
      <c r="AD15" s="166"/>
      <c r="AE15" s="82"/>
      <c r="AF15" s="92"/>
      <c r="AG15" s="84"/>
      <c r="AH15" s="167"/>
      <c r="AI15" s="86"/>
    </row>
    <row r="16" spans="1:35" x14ac:dyDescent="0.3">
      <c r="A16" s="6" t="s">
        <v>279</v>
      </c>
      <c r="B16" s="40" t="s">
        <v>92</v>
      </c>
      <c r="C16" s="41"/>
      <c r="D16" s="41"/>
      <c r="E16" s="41"/>
      <c r="F16" s="41"/>
      <c r="G16" s="91">
        <v>920000</v>
      </c>
      <c r="H16" s="41"/>
      <c r="I16" s="142">
        <v>150000</v>
      </c>
      <c r="J16" s="95"/>
      <c r="K16" s="80">
        <v>920000</v>
      </c>
      <c r="L16" s="95"/>
      <c r="M16" s="81"/>
      <c r="N16" s="95"/>
      <c r="O16" s="82"/>
      <c r="P16" s="41"/>
      <c r="Q16" s="84"/>
      <c r="R16" s="96"/>
      <c r="S16" s="86"/>
      <c r="T16" s="138"/>
      <c r="U16" s="80"/>
      <c r="V16" s="163"/>
      <c r="W16" s="81"/>
      <c r="X16" s="14"/>
      <c r="Y16" s="87"/>
      <c r="Z16" s="14"/>
      <c r="AA16" s="89"/>
      <c r="AB16" s="14"/>
      <c r="AC16" s="90"/>
      <c r="AD16" s="14"/>
      <c r="AE16" s="82"/>
      <c r="AF16" s="41"/>
      <c r="AG16" s="84"/>
      <c r="AH16" s="140"/>
      <c r="AI16" s="86"/>
    </row>
    <row r="17" spans="1:35" x14ac:dyDescent="0.3">
      <c r="A17" s="6" t="s">
        <v>279</v>
      </c>
      <c r="B17" s="40" t="s">
        <v>93</v>
      </c>
      <c r="C17" s="41"/>
      <c r="D17" s="41"/>
      <c r="E17" s="41"/>
      <c r="F17" s="41"/>
      <c r="G17" s="91">
        <v>355000</v>
      </c>
      <c r="H17" s="41"/>
      <c r="I17" s="79">
        <v>0</v>
      </c>
      <c r="J17" s="95"/>
      <c r="K17" s="80">
        <v>50000</v>
      </c>
      <c r="L17" s="95"/>
      <c r="M17" s="81">
        <v>150000</v>
      </c>
      <c r="N17" s="95"/>
      <c r="O17" s="82">
        <v>155000</v>
      </c>
      <c r="P17" s="41"/>
      <c r="Q17" s="84"/>
      <c r="R17" s="96"/>
      <c r="S17" s="86"/>
      <c r="T17" s="138"/>
      <c r="U17" s="80"/>
      <c r="V17" s="163"/>
      <c r="W17" s="81"/>
      <c r="X17" s="14"/>
      <c r="Y17" s="87"/>
      <c r="Z17" s="14"/>
      <c r="AA17" s="89"/>
      <c r="AB17" s="14"/>
      <c r="AC17" s="90"/>
      <c r="AD17" s="14"/>
      <c r="AE17" s="82"/>
      <c r="AF17" s="41"/>
      <c r="AG17" s="84"/>
      <c r="AH17" s="140"/>
      <c r="AI17" s="86"/>
    </row>
    <row r="18" spans="1:35" x14ac:dyDescent="0.3">
      <c r="A18" t="s">
        <v>278</v>
      </c>
      <c r="B18" s="40" t="s">
        <v>132</v>
      </c>
      <c r="C18" s="41"/>
      <c r="D18" s="41"/>
      <c r="E18" s="41"/>
      <c r="F18" s="41"/>
      <c r="G18" s="91">
        <v>1500000</v>
      </c>
      <c r="H18" s="41"/>
      <c r="I18" s="79">
        <v>50000</v>
      </c>
      <c r="J18" s="95"/>
      <c r="K18" s="80">
        <v>1000000</v>
      </c>
      <c r="L18" s="95"/>
      <c r="M18" s="81">
        <v>500000</v>
      </c>
      <c r="N18" s="95"/>
      <c r="O18" s="82"/>
      <c r="P18" s="41"/>
      <c r="Q18" s="84"/>
      <c r="R18" s="96"/>
      <c r="S18" s="86"/>
      <c r="T18" s="138"/>
      <c r="U18" s="80"/>
      <c r="V18" s="14"/>
      <c r="W18" s="81"/>
      <c r="X18" s="14"/>
      <c r="Y18" s="87"/>
      <c r="Z18" s="14"/>
      <c r="AA18" s="89"/>
      <c r="AB18" s="14"/>
      <c r="AC18" s="90"/>
      <c r="AD18" s="14"/>
      <c r="AE18" s="82"/>
      <c r="AF18" s="41"/>
      <c r="AG18" s="84"/>
      <c r="AH18" s="140"/>
      <c r="AI18" s="86"/>
    </row>
    <row r="19" spans="1:35" s="41" customFormat="1" x14ac:dyDescent="0.3">
      <c r="A19" t="s">
        <v>278</v>
      </c>
      <c r="B19" s="40" t="s">
        <v>351</v>
      </c>
      <c r="G19" s="95">
        <v>1193300</v>
      </c>
      <c r="I19" s="79"/>
      <c r="J19" s="95"/>
      <c r="K19" s="80">
        <v>800000</v>
      </c>
      <c r="L19" s="95"/>
      <c r="M19" s="81">
        <v>393300</v>
      </c>
      <c r="N19" s="95"/>
      <c r="O19" s="82"/>
      <c r="Q19" s="98"/>
      <c r="R19" s="96"/>
      <c r="S19" s="86"/>
      <c r="T19" s="138"/>
      <c r="U19" s="80"/>
      <c r="V19" s="14"/>
      <c r="W19" s="81"/>
      <c r="X19" s="14"/>
      <c r="Y19" s="87"/>
      <c r="Z19" s="14"/>
      <c r="AA19" s="89"/>
      <c r="AB19" s="14"/>
      <c r="AC19" s="90"/>
      <c r="AD19" s="14"/>
      <c r="AE19" s="82"/>
      <c r="AG19" s="98"/>
      <c r="AH19" s="140"/>
      <c r="AI19" s="86"/>
    </row>
    <row r="20" spans="1:35" x14ac:dyDescent="0.3">
      <c r="A20" t="s">
        <v>279</v>
      </c>
      <c r="B20" s="40" t="s">
        <v>94</v>
      </c>
      <c r="C20" s="41"/>
      <c r="D20" s="41"/>
      <c r="E20" s="41"/>
      <c r="F20" s="41"/>
      <c r="G20" s="91">
        <v>4578000</v>
      </c>
      <c r="H20" s="41"/>
      <c r="I20" s="79">
        <v>150000</v>
      </c>
      <c r="J20" s="95"/>
      <c r="K20" s="80">
        <v>2150000</v>
      </c>
      <c r="L20" s="95"/>
      <c r="M20" s="81">
        <v>2428000</v>
      </c>
      <c r="N20" s="95"/>
      <c r="O20" s="82"/>
      <c r="P20" s="41"/>
      <c r="Q20" s="84"/>
      <c r="R20" s="96"/>
      <c r="S20" s="86"/>
      <c r="T20" s="97"/>
      <c r="U20" s="80"/>
      <c r="W20" s="81"/>
      <c r="Y20" s="87"/>
      <c r="Z20" s="14"/>
      <c r="AA20" s="89"/>
      <c r="AB20" s="14"/>
      <c r="AC20" s="90"/>
      <c r="AD20" s="14"/>
      <c r="AE20" s="82"/>
      <c r="AF20" s="14"/>
      <c r="AG20" s="84"/>
      <c r="AH20" s="140"/>
      <c r="AI20" s="86"/>
    </row>
    <row r="21" spans="1:35" x14ac:dyDescent="0.3">
      <c r="A21" t="s">
        <v>279</v>
      </c>
      <c r="B21" s="40" t="s">
        <v>95</v>
      </c>
      <c r="C21" s="41"/>
      <c r="D21" s="41"/>
      <c r="E21" s="41"/>
      <c r="F21" s="41"/>
      <c r="G21" s="91">
        <v>1589000</v>
      </c>
      <c r="H21" s="41"/>
      <c r="I21" s="79"/>
      <c r="J21" s="95"/>
      <c r="K21" s="80"/>
      <c r="L21" s="95"/>
      <c r="M21" s="81"/>
      <c r="N21" s="95"/>
      <c r="O21" s="82"/>
      <c r="P21" s="41"/>
      <c r="Q21" s="84">
        <v>150000</v>
      </c>
      <c r="R21" s="96"/>
      <c r="S21" s="86">
        <v>1000000</v>
      </c>
      <c r="T21" s="97"/>
      <c r="U21" s="80">
        <v>439000</v>
      </c>
      <c r="W21" s="81"/>
      <c r="Y21" s="87"/>
      <c r="Z21" s="14"/>
      <c r="AA21" s="89"/>
      <c r="AB21" s="14"/>
      <c r="AC21" s="90"/>
      <c r="AD21" s="14"/>
      <c r="AE21" s="82"/>
      <c r="AF21" s="14"/>
      <c r="AG21" s="84"/>
      <c r="AH21" s="140"/>
      <c r="AI21" s="86"/>
    </row>
    <row r="22" spans="1:35" x14ac:dyDescent="0.3">
      <c r="B22" s="38"/>
      <c r="C22" s="38"/>
      <c r="D22" s="38"/>
      <c r="E22" s="38"/>
      <c r="F22" s="38"/>
      <c r="G22" s="412"/>
      <c r="H22" s="38"/>
      <c r="I22" s="99"/>
      <c r="J22" s="97"/>
      <c r="K22" s="100"/>
      <c r="L22" s="97"/>
      <c r="M22" s="55"/>
      <c r="N22" s="97"/>
      <c r="O22" s="101"/>
      <c r="P22" s="38"/>
      <c r="R22" s="96"/>
      <c r="S22" s="103"/>
      <c r="T22" s="97"/>
      <c r="U22" s="100"/>
      <c r="Z22" s="38"/>
      <c r="AB22" s="38"/>
      <c r="AD22" s="38"/>
      <c r="AE22" s="101"/>
      <c r="AF22" s="38"/>
      <c r="AH22" s="96"/>
      <c r="AI22" s="103"/>
    </row>
    <row r="23" spans="1:35" s="38" customFormat="1" x14ac:dyDescent="0.3">
      <c r="G23" s="97"/>
      <c r="I23" s="99"/>
      <c r="J23" s="97"/>
      <c r="K23" s="100"/>
      <c r="L23" s="97"/>
      <c r="M23" s="55"/>
      <c r="N23" s="97"/>
      <c r="O23" s="101"/>
      <c r="Q23" s="102"/>
      <c r="R23" s="96"/>
      <c r="S23" s="103"/>
      <c r="T23" s="97"/>
      <c r="U23" s="100"/>
      <c r="W23" s="55"/>
      <c r="Y23" s="56"/>
      <c r="AA23" s="57"/>
      <c r="AC23" s="58"/>
      <c r="AE23" s="101"/>
      <c r="AG23" s="102"/>
      <c r="AH23" s="96"/>
      <c r="AI23" s="103"/>
    </row>
    <row r="24" spans="1:35" s="38" customFormat="1" x14ac:dyDescent="0.3">
      <c r="B24" s="47" t="s">
        <v>280</v>
      </c>
      <c r="G24" s="97"/>
      <c r="I24" s="99"/>
      <c r="J24" s="97"/>
      <c r="K24" s="100"/>
      <c r="L24" s="97"/>
      <c r="M24" s="55"/>
      <c r="N24" s="97"/>
      <c r="O24" s="101"/>
      <c r="Q24" s="102"/>
      <c r="R24" s="96"/>
      <c r="S24" s="103"/>
      <c r="T24" s="97"/>
      <c r="U24" s="100"/>
      <c r="W24" s="55"/>
      <c r="Y24" s="56"/>
      <c r="AA24" s="57"/>
      <c r="AC24" s="58"/>
      <c r="AE24" s="101"/>
      <c r="AG24" s="102"/>
      <c r="AH24" s="96"/>
      <c r="AI24" s="103"/>
    </row>
    <row r="25" spans="1:35" s="38" customFormat="1" x14ac:dyDescent="0.3">
      <c r="A25" t="s">
        <v>278</v>
      </c>
      <c r="B25" s="163" t="s">
        <v>281</v>
      </c>
      <c r="C25" s="14"/>
      <c r="D25" s="40"/>
      <c r="E25" s="41"/>
      <c r="F25" s="41"/>
      <c r="G25" s="254">
        <v>584000</v>
      </c>
      <c r="H25" s="14"/>
      <c r="I25" s="79"/>
      <c r="J25" s="138"/>
      <c r="K25" s="80">
        <v>584000</v>
      </c>
      <c r="L25" s="138"/>
      <c r="M25" s="81"/>
      <c r="N25" s="138"/>
      <c r="O25" s="82"/>
      <c r="P25" s="14"/>
      <c r="Q25" s="98"/>
      <c r="R25" s="140"/>
      <c r="S25" s="86"/>
      <c r="T25" s="138"/>
      <c r="U25" s="80"/>
      <c r="V25" s="14"/>
      <c r="W25" s="81"/>
      <c r="X25" s="14"/>
      <c r="Y25" s="87"/>
      <c r="Z25" s="14"/>
      <c r="AA25" s="89"/>
      <c r="AB25" s="14"/>
      <c r="AC25" s="90"/>
      <c r="AE25" s="101"/>
      <c r="AG25" s="102"/>
      <c r="AH25" s="96"/>
      <c r="AI25" s="103"/>
    </row>
    <row r="26" spans="1:35" x14ac:dyDescent="0.3">
      <c r="R26" s="96"/>
      <c r="S26" s="103"/>
      <c r="T26" s="97"/>
      <c r="U26" s="100"/>
      <c r="AH26" s="96"/>
      <c r="AI26" s="103"/>
    </row>
    <row r="27" spans="1:35" x14ac:dyDescent="0.3">
      <c r="R27" s="96"/>
      <c r="S27" s="103"/>
      <c r="T27" s="97"/>
      <c r="U27" s="100"/>
      <c r="AH27" s="96"/>
      <c r="AI27" s="103"/>
    </row>
    <row r="28" spans="1:35" x14ac:dyDescent="0.3">
      <c r="B28" s="47" t="s">
        <v>133</v>
      </c>
      <c r="R28" s="96"/>
      <c r="S28" s="103"/>
      <c r="T28" s="97"/>
      <c r="U28" s="100"/>
      <c r="AH28" s="96"/>
      <c r="AI28" s="103"/>
    </row>
    <row r="29" spans="1:35" x14ac:dyDescent="0.3">
      <c r="A29" t="s">
        <v>279</v>
      </c>
      <c r="B29" s="255" t="s">
        <v>59</v>
      </c>
      <c r="C29" s="256"/>
      <c r="D29" s="256"/>
      <c r="E29" s="256"/>
      <c r="F29" s="256"/>
      <c r="G29" s="257" t="s">
        <v>282</v>
      </c>
      <c r="H29" s="258" t="s">
        <v>283</v>
      </c>
      <c r="I29" s="79">
        <v>277891.3</v>
      </c>
      <c r="J29" s="95"/>
      <c r="K29" s="80"/>
      <c r="L29" s="95"/>
      <c r="M29" s="81"/>
      <c r="N29" s="95"/>
      <c r="O29" s="82"/>
      <c r="P29" s="41"/>
      <c r="Q29" s="84"/>
      <c r="R29" s="105"/>
      <c r="S29" s="86"/>
      <c r="T29" s="95"/>
      <c r="U29" s="80"/>
      <c r="V29" s="41"/>
      <c r="W29" s="81"/>
      <c r="X29" s="14"/>
      <c r="Y29" s="87"/>
      <c r="Z29" s="14"/>
      <c r="AA29" s="89"/>
      <c r="AB29" s="14"/>
      <c r="AC29" s="90"/>
      <c r="AD29" s="14"/>
      <c r="AE29" s="82"/>
      <c r="AF29" s="41"/>
      <c r="AG29" s="84"/>
      <c r="AH29" s="105"/>
      <c r="AI29" s="86"/>
    </row>
    <row r="30" spans="1:35" x14ac:dyDescent="0.3">
      <c r="A30" t="s">
        <v>279</v>
      </c>
      <c r="B30" s="160" t="s">
        <v>128</v>
      </c>
      <c r="C30" s="41"/>
      <c r="D30" s="41"/>
      <c r="E30" s="41"/>
      <c r="F30" s="41"/>
      <c r="G30" s="91">
        <v>3477000</v>
      </c>
      <c r="H30" s="159"/>
      <c r="I30" s="79">
        <v>50000</v>
      </c>
      <c r="J30" s="95"/>
      <c r="K30" s="80">
        <f>250000+50000</f>
        <v>300000</v>
      </c>
      <c r="L30" s="95"/>
      <c r="M30" s="81">
        <v>3177000</v>
      </c>
      <c r="N30" s="95"/>
      <c r="O30" s="82"/>
      <c r="P30" s="41"/>
      <c r="Q30" s="84"/>
      <c r="R30" s="105"/>
      <c r="S30" s="86"/>
      <c r="T30" s="95"/>
      <c r="U30" s="80"/>
      <c r="V30" s="41"/>
      <c r="W30" s="81"/>
      <c r="X30" s="14"/>
      <c r="Y30" s="87"/>
      <c r="Z30" s="14"/>
      <c r="AA30" s="89"/>
      <c r="AB30" s="14"/>
      <c r="AC30" s="90"/>
      <c r="AD30" s="14"/>
      <c r="AE30" s="82"/>
      <c r="AF30" s="41"/>
      <c r="AG30" s="84"/>
      <c r="AH30" s="105"/>
      <c r="AI30" s="86"/>
    </row>
    <row r="31" spans="1:35" x14ac:dyDescent="0.3">
      <c r="A31" t="s">
        <v>279</v>
      </c>
      <c r="B31" s="160" t="s">
        <v>127</v>
      </c>
      <c r="C31" s="41"/>
      <c r="D31" s="41"/>
      <c r="E31" s="41"/>
      <c r="F31" s="41"/>
      <c r="G31" s="91">
        <v>225000</v>
      </c>
      <c r="H31" s="159"/>
      <c r="I31" s="79"/>
      <c r="J31" s="95"/>
      <c r="K31" s="80"/>
      <c r="L31" s="95"/>
      <c r="M31" s="81"/>
      <c r="N31" s="95"/>
      <c r="O31" s="82"/>
      <c r="P31" s="41"/>
      <c r="Q31" s="84"/>
      <c r="R31" s="105"/>
      <c r="S31" s="86"/>
      <c r="T31" s="95"/>
      <c r="U31" s="80"/>
      <c r="V31" s="41"/>
      <c r="W31" s="81"/>
      <c r="X31" s="14"/>
      <c r="Y31" s="87">
        <v>20000</v>
      </c>
      <c r="Z31" s="14"/>
      <c r="AA31" s="89">
        <v>205000</v>
      </c>
      <c r="AB31" s="14"/>
      <c r="AC31" s="90"/>
      <c r="AD31" s="14"/>
      <c r="AE31" s="82"/>
      <c r="AF31" s="41"/>
      <c r="AG31" s="84"/>
      <c r="AH31" s="105"/>
      <c r="AI31" s="86"/>
    </row>
    <row r="32" spans="1:35" x14ac:dyDescent="0.3">
      <c r="A32" t="s">
        <v>279</v>
      </c>
      <c r="B32" s="160" t="s">
        <v>284</v>
      </c>
      <c r="C32" s="41"/>
      <c r="D32" s="41"/>
      <c r="E32" s="41"/>
      <c r="F32" s="41"/>
      <c r="G32" s="91">
        <v>1242000</v>
      </c>
      <c r="H32" s="159"/>
      <c r="I32" s="79"/>
      <c r="J32" s="95"/>
      <c r="K32" s="80">
        <v>100000</v>
      </c>
      <c r="L32" s="95"/>
      <c r="M32" s="81">
        <v>900000</v>
      </c>
      <c r="N32" s="95"/>
      <c r="O32" s="82">
        <v>242000</v>
      </c>
      <c r="P32" s="41"/>
      <c r="Q32" s="84"/>
      <c r="R32" s="105"/>
      <c r="S32" s="86"/>
      <c r="T32" s="95"/>
      <c r="U32" s="80"/>
      <c r="V32" s="41"/>
      <c r="W32" s="81"/>
      <c r="X32" s="14"/>
      <c r="Y32" s="87"/>
      <c r="Z32" s="14"/>
      <c r="AA32" s="89"/>
      <c r="AB32" s="14"/>
      <c r="AC32" s="90"/>
      <c r="AD32" s="14"/>
      <c r="AE32" s="82"/>
      <c r="AF32" s="41"/>
      <c r="AG32" s="84"/>
      <c r="AH32" s="105"/>
      <c r="AI32" s="86"/>
    </row>
    <row r="33" spans="1:35" x14ac:dyDescent="0.3">
      <c r="A33" t="s">
        <v>279</v>
      </c>
      <c r="B33" s="40" t="s">
        <v>96</v>
      </c>
      <c r="C33" s="41"/>
      <c r="D33" s="41"/>
      <c r="E33" s="41"/>
      <c r="F33" s="41"/>
      <c r="G33" s="91">
        <v>1154000</v>
      </c>
      <c r="H33" s="159"/>
      <c r="I33" s="79">
        <v>10000</v>
      </c>
      <c r="J33" s="95"/>
      <c r="K33" s="80">
        <f>744000+10000</f>
        <v>754000</v>
      </c>
      <c r="L33" s="95"/>
      <c r="M33" s="81">
        <v>400000</v>
      </c>
      <c r="N33" s="95"/>
      <c r="O33" s="82"/>
      <c r="P33" s="41"/>
      <c r="Q33" s="84"/>
      <c r="R33" s="105"/>
      <c r="S33" s="86"/>
      <c r="T33" s="95"/>
      <c r="U33" s="80"/>
      <c r="V33" s="41"/>
      <c r="W33" s="81"/>
      <c r="X33" s="14"/>
      <c r="Y33" s="87"/>
      <c r="Z33" s="14"/>
      <c r="AA33" s="89"/>
      <c r="AB33" s="14"/>
      <c r="AC33" s="90"/>
      <c r="AD33" s="14"/>
      <c r="AE33" s="82"/>
      <c r="AF33" s="41"/>
      <c r="AG33" s="84"/>
      <c r="AH33" s="105"/>
      <c r="AI33" s="86"/>
    </row>
    <row r="34" spans="1:35" x14ac:dyDescent="0.3">
      <c r="A34" t="s">
        <v>279</v>
      </c>
      <c r="B34" s="160" t="s">
        <v>126</v>
      </c>
      <c r="C34" s="41"/>
      <c r="D34" s="41"/>
      <c r="E34" s="41"/>
      <c r="F34" s="41"/>
      <c r="G34" s="91">
        <v>238000</v>
      </c>
      <c r="H34" s="159"/>
      <c r="I34" s="79">
        <v>0</v>
      </c>
      <c r="J34" s="95"/>
      <c r="K34" s="80"/>
      <c r="L34" s="95"/>
      <c r="M34" s="81">
        <v>238000</v>
      </c>
      <c r="N34" s="95"/>
      <c r="O34" s="82"/>
      <c r="P34" s="41"/>
      <c r="Q34" s="84"/>
      <c r="R34" s="105"/>
      <c r="S34" s="86"/>
      <c r="T34" s="95"/>
      <c r="U34" s="80"/>
      <c r="V34" s="41"/>
      <c r="W34" s="81"/>
      <c r="X34" s="14"/>
      <c r="Y34" s="87"/>
      <c r="Z34" s="14"/>
      <c r="AA34" s="89"/>
      <c r="AB34" s="14"/>
      <c r="AC34" s="90"/>
      <c r="AD34" s="14"/>
      <c r="AE34" s="82"/>
      <c r="AF34" s="41"/>
      <c r="AG34" s="84"/>
      <c r="AH34" s="105"/>
      <c r="AI34" s="86"/>
    </row>
    <row r="35" spans="1:35" x14ac:dyDescent="0.3">
      <c r="A35" t="s">
        <v>279</v>
      </c>
      <c r="B35" s="259" t="s">
        <v>60</v>
      </c>
      <c r="C35" s="256"/>
      <c r="D35" s="256"/>
      <c r="E35" s="256"/>
      <c r="F35" s="256"/>
      <c r="G35" s="257" t="s">
        <v>282</v>
      </c>
      <c r="H35" s="258" t="s">
        <v>283</v>
      </c>
      <c r="I35" s="79">
        <v>757000</v>
      </c>
      <c r="J35" s="95"/>
      <c r="K35" s="80"/>
      <c r="L35" s="95"/>
      <c r="M35" s="81" t="s">
        <v>124</v>
      </c>
      <c r="N35" s="95"/>
      <c r="O35" s="82"/>
      <c r="P35" s="41"/>
      <c r="Q35" s="84"/>
      <c r="R35" s="105"/>
      <c r="S35" s="86"/>
      <c r="T35" s="95"/>
      <c r="U35" s="80"/>
      <c r="V35" s="41"/>
      <c r="W35" s="81"/>
      <c r="X35" s="14"/>
      <c r="Y35" s="87"/>
      <c r="Z35" s="14"/>
      <c r="AA35" s="89"/>
      <c r="AB35" s="14"/>
      <c r="AC35" s="90"/>
      <c r="AD35" s="14"/>
      <c r="AE35" s="82"/>
      <c r="AF35" s="41"/>
      <c r="AG35" s="84"/>
      <c r="AH35" s="105"/>
      <c r="AI35" s="86"/>
    </row>
    <row r="36" spans="1:35" x14ac:dyDescent="0.3">
      <c r="A36" t="s">
        <v>279</v>
      </c>
      <c r="B36" s="40" t="s">
        <v>61</v>
      </c>
      <c r="C36" s="41"/>
      <c r="D36" s="41"/>
      <c r="E36" s="41"/>
      <c r="F36" s="41"/>
      <c r="G36" s="91">
        <v>703000</v>
      </c>
      <c r="H36" s="159"/>
      <c r="I36" s="79"/>
      <c r="J36" s="95"/>
      <c r="K36" s="80">
        <v>30000</v>
      </c>
      <c r="L36" s="95"/>
      <c r="M36" s="81">
        <v>400000</v>
      </c>
      <c r="N36" s="95"/>
      <c r="O36" s="82">
        <v>273000</v>
      </c>
      <c r="P36" s="41"/>
      <c r="Q36" s="84"/>
      <c r="R36" s="105"/>
      <c r="S36" s="86"/>
      <c r="T36" s="95"/>
      <c r="U36" s="80"/>
      <c r="V36" s="41"/>
      <c r="W36" s="81"/>
      <c r="X36" s="14"/>
      <c r="Y36" s="87"/>
      <c r="Z36" s="14"/>
      <c r="AA36" s="89"/>
      <c r="AB36" s="14"/>
      <c r="AC36" s="90"/>
      <c r="AD36" s="14"/>
      <c r="AE36" s="82"/>
      <c r="AF36" s="41"/>
      <c r="AG36" s="84"/>
      <c r="AH36" s="105"/>
      <c r="AI36" s="86"/>
    </row>
    <row r="37" spans="1:35" x14ac:dyDescent="0.3">
      <c r="A37" t="s">
        <v>279</v>
      </c>
      <c r="B37" s="161" t="s">
        <v>97</v>
      </c>
      <c r="C37" s="41"/>
      <c r="D37" s="41"/>
      <c r="E37" s="41"/>
      <c r="F37" s="41"/>
      <c r="G37" s="91">
        <v>6945000</v>
      </c>
      <c r="H37" s="159"/>
      <c r="I37" s="122">
        <v>50000</v>
      </c>
      <c r="J37" s="123"/>
      <c r="K37" s="124">
        <v>200000</v>
      </c>
      <c r="L37" s="123"/>
      <c r="M37" s="125">
        <v>3519000</v>
      </c>
      <c r="N37" s="123"/>
      <c r="O37" s="126">
        <v>3226000</v>
      </c>
      <c r="P37" s="123"/>
      <c r="Q37" s="84"/>
      <c r="R37" s="105"/>
      <c r="S37" s="86"/>
      <c r="T37" s="95"/>
      <c r="U37" s="80"/>
      <c r="V37" s="41"/>
      <c r="W37" s="81"/>
      <c r="X37" s="14"/>
      <c r="Y37" s="87"/>
      <c r="Z37" s="14"/>
      <c r="AA37" s="89"/>
      <c r="AB37" s="14"/>
      <c r="AC37" s="90"/>
      <c r="AD37" s="14"/>
      <c r="AE37" s="126"/>
      <c r="AF37" s="123"/>
      <c r="AG37" s="84"/>
      <c r="AH37" s="105"/>
      <c r="AI37" s="86"/>
    </row>
    <row r="38" spans="1:35" x14ac:dyDescent="0.3">
      <c r="A38" t="s">
        <v>279</v>
      </c>
      <c r="B38" s="41" t="s">
        <v>98</v>
      </c>
      <c r="C38" s="41"/>
      <c r="D38" s="41"/>
      <c r="E38" s="41"/>
      <c r="F38" s="41"/>
      <c r="G38" s="91">
        <v>6945000</v>
      </c>
      <c r="H38" s="159"/>
      <c r="I38" s="79"/>
      <c r="J38" s="95"/>
      <c r="K38" s="80"/>
      <c r="L38" s="95"/>
      <c r="M38" s="81">
        <v>50000</v>
      </c>
      <c r="N38" s="95"/>
      <c r="O38" s="82">
        <v>150000</v>
      </c>
      <c r="P38" s="41"/>
      <c r="Q38" s="84">
        <v>3519000</v>
      </c>
      <c r="R38" s="105"/>
      <c r="S38" s="86">
        <v>3226000</v>
      </c>
      <c r="T38" s="95"/>
      <c r="U38" s="80"/>
      <c r="V38" s="41"/>
      <c r="W38" s="81"/>
      <c r="X38" s="14"/>
      <c r="Y38" s="87"/>
      <c r="Z38" s="14"/>
      <c r="AA38" s="89"/>
      <c r="AB38" s="14"/>
      <c r="AC38" s="90"/>
      <c r="AD38" s="14"/>
      <c r="AE38" s="82"/>
      <c r="AF38" s="41"/>
      <c r="AG38" s="84"/>
      <c r="AH38" s="105"/>
      <c r="AI38" s="86"/>
    </row>
    <row r="39" spans="1:35" x14ac:dyDescent="0.3">
      <c r="A39" t="s">
        <v>279</v>
      </c>
      <c r="B39" s="41" t="s">
        <v>125</v>
      </c>
      <c r="C39" s="41"/>
      <c r="D39" s="41"/>
      <c r="E39" s="41"/>
      <c r="F39" s="41"/>
      <c r="G39" s="91">
        <v>1545000</v>
      </c>
      <c r="H39" s="159"/>
      <c r="I39" s="79"/>
      <c r="J39" s="95"/>
      <c r="K39" s="80"/>
      <c r="L39" s="95"/>
      <c r="M39" s="81"/>
      <c r="N39" s="95"/>
      <c r="O39" s="82"/>
      <c r="P39" s="41"/>
      <c r="Q39" s="84">
        <v>185000</v>
      </c>
      <c r="R39" s="105"/>
      <c r="S39" s="86">
        <v>700000</v>
      </c>
      <c r="T39" s="95"/>
      <c r="U39" s="80">
        <v>660000</v>
      </c>
      <c r="V39" s="41"/>
      <c r="W39" s="81"/>
      <c r="X39" s="14"/>
      <c r="Y39" s="87"/>
      <c r="Z39" s="14"/>
      <c r="AA39" s="89"/>
      <c r="AB39" s="14"/>
      <c r="AC39" s="90"/>
      <c r="AD39" s="14"/>
      <c r="AE39" s="82"/>
      <c r="AF39" s="41"/>
      <c r="AG39" s="84"/>
      <c r="AH39" s="105"/>
      <c r="AI39" s="86"/>
    </row>
    <row r="40" spans="1:35" x14ac:dyDescent="0.3">
      <c r="A40" t="s">
        <v>279</v>
      </c>
      <c r="B40" s="41" t="s">
        <v>99</v>
      </c>
      <c r="C40" s="41"/>
      <c r="D40" s="41"/>
      <c r="E40" s="41"/>
      <c r="F40" s="41"/>
      <c r="G40" s="91">
        <v>122000</v>
      </c>
      <c r="H40" s="159"/>
      <c r="I40" s="79"/>
      <c r="J40" s="95"/>
      <c r="K40" s="80"/>
      <c r="L40" s="95"/>
      <c r="M40" s="81"/>
      <c r="N40" s="95"/>
      <c r="O40" s="82"/>
      <c r="P40" s="41"/>
      <c r="Q40" s="84"/>
      <c r="R40" s="105"/>
      <c r="S40" s="86">
        <v>10000</v>
      </c>
      <c r="T40" s="95"/>
      <c r="U40" s="80">
        <v>112000</v>
      </c>
      <c r="V40" s="41"/>
      <c r="W40" s="81"/>
      <c r="X40" s="14"/>
      <c r="Y40" s="87"/>
      <c r="Z40" s="14"/>
      <c r="AA40" s="89"/>
      <c r="AB40" s="14"/>
      <c r="AC40" s="90"/>
      <c r="AD40" s="14"/>
      <c r="AE40" s="82"/>
      <c r="AF40" s="41"/>
      <c r="AG40" s="84"/>
      <c r="AH40" s="105"/>
      <c r="AI40" s="86"/>
    </row>
    <row r="41" spans="1:35" x14ac:dyDescent="0.3">
      <c r="B41" s="41" t="s">
        <v>100</v>
      </c>
      <c r="C41" s="41"/>
      <c r="D41" s="41"/>
      <c r="E41" s="41"/>
      <c r="F41" s="41"/>
      <c r="G41" s="95"/>
      <c r="H41" s="123"/>
      <c r="I41" s="79"/>
      <c r="J41" s="95"/>
      <c r="K41" s="80"/>
      <c r="L41" s="95"/>
      <c r="M41" s="81"/>
      <c r="N41" s="95"/>
      <c r="O41" s="82"/>
      <c r="P41" s="41"/>
      <c r="Q41" s="84"/>
      <c r="R41" s="105"/>
      <c r="S41" s="86"/>
      <c r="T41" s="95"/>
      <c r="U41" s="80"/>
      <c r="V41" s="41"/>
      <c r="W41" s="81"/>
      <c r="X41" s="14"/>
      <c r="Y41" s="87"/>
      <c r="Z41" s="14"/>
      <c r="AA41" s="89"/>
      <c r="AB41" s="14"/>
      <c r="AC41" s="90"/>
      <c r="AD41" s="14"/>
      <c r="AE41" s="82"/>
      <c r="AF41" s="41"/>
      <c r="AG41" s="84"/>
      <c r="AH41" s="105"/>
      <c r="AI41" s="86"/>
    </row>
    <row r="42" spans="1:35" x14ac:dyDescent="0.3">
      <c r="A42" t="s">
        <v>279</v>
      </c>
      <c r="B42" s="14"/>
      <c r="C42" s="14" t="s">
        <v>101</v>
      </c>
      <c r="D42" s="14" t="s">
        <v>102</v>
      </c>
      <c r="E42" s="14"/>
      <c r="F42" s="14"/>
      <c r="G42" s="165">
        <v>988000</v>
      </c>
      <c r="H42" s="168"/>
      <c r="I42" s="79"/>
      <c r="J42" s="138"/>
      <c r="K42" s="80"/>
      <c r="L42" s="138"/>
      <c r="M42" s="81"/>
      <c r="N42" s="138"/>
      <c r="O42" s="82"/>
      <c r="P42" s="14"/>
      <c r="Q42" s="84"/>
      <c r="R42" s="140"/>
      <c r="S42" s="86"/>
      <c r="T42" s="138"/>
      <c r="U42" s="80"/>
      <c r="V42" s="14"/>
      <c r="W42" s="81"/>
      <c r="X42" s="14"/>
      <c r="Y42" s="87"/>
      <c r="Z42" s="14"/>
      <c r="AA42" s="89">
        <v>100000</v>
      </c>
      <c r="AB42" s="14"/>
      <c r="AC42" s="90">
        <v>888000</v>
      </c>
      <c r="AD42" s="14"/>
      <c r="AE42" s="82"/>
      <c r="AF42" s="14"/>
      <c r="AG42" s="84"/>
      <c r="AH42" s="140"/>
      <c r="AI42" s="86"/>
    </row>
    <row r="43" spans="1:35" x14ac:dyDescent="0.3">
      <c r="A43" t="s">
        <v>279</v>
      </c>
      <c r="B43" s="14"/>
      <c r="C43" s="14" t="s">
        <v>103</v>
      </c>
      <c r="D43" s="14" t="s">
        <v>104</v>
      </c>
      <c r="E43" s="14"/>
      <c r="F43" s="14"/>
      <c r="G43" s="165">
        <v>1812000</v>
      </c>
      <c r="H43" s="168"/>
      <c r="I43" s="79"/>
      <c r="J43" s="138"/>
      <c r="K43" s="80"/>
      <c r="L43" s="138"/>
      <c r="M43" s="81"/>
      <c r="N43" s="138"/>
      <c r="O43" s="82"/>
      <c r="P43" s="14"/>
      <c r="Q43" s="84"/>
      <c r="R43" s="140"/>
      <c r="S43" s="86">
        <v>212000</v>
      </c>
      <c r="T43" s="138"/>
      <c r="U43" s="80">
        <v>1600000</v>
      </c>
      <c r="V43" s="14"/>
      <c r="W43" s="81">
        <v>1600000</v>
      </c>
      <c r="X43" s="14"/>
      <c r="Y43" s="87"/>
      <c r="Z43" s="14"/>
      <c r="AA43" s="89"/>
      <c r="AB43" s="14"/>
      <c r="AC43" s="90"/>
      <c r="AD43" s="14"/>
      <c r="AE43" s="82"/>
      <c r="AF43" s="14"/>
      <c r="AG43" s="84"/>
      <c r="AH43" s="140"/>
      <c r="AI43" s="86"/>
    </row>
    <row r="44" spans="1:35" x14ac:dyDescent="0.3">
      <c r="A44" t="s">
        <v>279</v>
      </c>
      <c r="B44" s="14"/>
      <c r="C44" s="14" t="s">
        <v>105</v>
      </c>
      <c r="D44" s="14" t="s">
        <v>104</v>
      </c>
      <c r="E44" s="14"/>
      <c r="F44" s="14"/>
      <c r="G44" s="165">
        <v>2238000</v>
      </c>
      <c r="H44" s="168"/>
      <c r="I44" s="79"/>
      <c r="J44" s="138"/>
      <c r="K44" s="80"/>
      <c r="L44" s="138"/>
      <c r="M44" s="81"/>
      <c r="N44" s="138"/>
      <c r="O44" s="82"/>
      <c r="P44" s="14"/>
      <c r="Q44" s="84"/>
      <c r="R44" s="140"/>
      <c r="S44" s="86"/>
      <c r="T44" s="138"/>
      <c r="U44" s="80"/>
      <c r="V44" s="14"/>
      <c r="W44" s="81"/>
      <c r="X44" s="14"/>
      <c r="Y44" s="87">
        <v>200000</v>
      </c>
      <c r="Z44" s="14"/>
      <c r="AA44" s="89">
        <v>2038000</v>
      </c>
      <c r="AB44" s="14"/>
      <c r="AC44" s="90"/>
      <c r="AD44" s="14"/>
      <c r="AE44" s="82"/>
      <c r="AF44" s="14"/>
      <c r="AG44" s="84"/>
      <c r="AH44" s="140"/>
      <c r="AI44" s="86"/>
    </row>
    <row r="45" spans="1:35" x14ac:dyDescent="0.3">
      <c r="A45" t="s">
        <v>279</v>
      </c>
      <c r="B45" s="14"/>
      <c r="C45" s="14" t="s">
        <v>106</v>
      </c>
      <c r="D45" s="14" t="s">
        <v>102</v>
      </c>
      <c r="E45" s="14"/>
      <c r="F45" s="14"/>
      <c r="G45" s="165">
        <v>702000</v>
      </c>
      <c r="H45" s="168"/>
      <c r="I45" s="79"/>
      <c r="J45" s="138"/>
      <c r="K45" s="80"/>
      <c r="L45" s="138"/>
      <c r="M45" s="81"/>
      <c r="N45" s="138"/>
      <c r="O45" s="82"/>
      <c r="P45" s="14"/>
      <c r="Q45" s="84"/>
      <c r="R45" s="140"/>
      <c r="S45" s="86"/>
      <c r="T45" s="138"/>
      <c r="U45" s="80"/>
      <c r="V45" s="14"/>
      <c r="W45" s="81"/>
      <c r="X45" s="14"/>
      <c r="Y45" s="87"/>
      <c r="Z45" s="14"/>
      <c r="AA45" s="89"/>
      <c r="AB45" s="14"/>
      <c r="AC45" s="90">
        <v>100000</v>
      </c>
      <c r="AD45" s="14"/>
      <c r="AE45" s="82">
        <v>602000</v>
      </c>
      <c r="AF45" s="14"/>
      <c r="AG45" s="84"/>
      <c r="AH45" s="140"/>
      <c r="AI45" s="86"/>
    </row>
    <row r="46" spans="1:35" x14ac:dyDescent="0.3">
      <c r="A46" t="s">
        <v>279</v>
      </c>
      <c r="B46" s="14"/>
      <c r="C46" s="14" t="s">
        <v>107</v>
      </c>
      <c r="D46" s="14" t="s">
        <v>102</v>
      </c>
      <c r="E46" s="14"/>
      <c r="F46" s="14"/>
      <c r="G46" s="165">
        <v>1898000</v>
      </c>
      <c r="H46" s="168"/>
      <c r="I46" s="79"/>
      <c r="J46" s="138"/>
      <c r="K46" s="80"/>
      <c r="L46" s="138"/>
      <c r="M46" s="81"/>
      <c r="N46" s="138"/>
      <c r="O46" s="82"/>
      <c r="P46" s="14"/>
      <c r="Q46" s="84"/>
      <c r="R46" s="140"/>
      <c r="S46" s="86"/>
      <c r="T46" s="138"/>
      <c r="U46" s="80"/>
      <c r="V46" s="14"/>
      <c r="W46" s="81"/>
      <c r="X46" s="14"/>
      <c r="Y46" s="87"/>
      <c r="Z46" s="14"/>
      <c r="AA46" s="89"/>
      <c r="AB46" s="14"/>
      <c r="AC46" s="90"/>
      <c r="AD46" s="14"/>
      <c r="AE46" s="82">
        <v>198000</v>
      </c>
      <c r="AF46" s="14"/>
      <c r="AG46" s="84">
        <v>1700000</v>
      </c>
      <c r="AH46" s="140"/>
      <c r="AI46" s="86"/>
    </row>
    <row r="47" spans="1:35" x14ac:dyDescent="0.3">
      <c r="B47" s="141"/>
      <c r="C47" s="14"/>
      <c r="D47" s="14"/>
      <c r="E47" s="14"/>
      <c r="F47" s="14"/>
      <c r="G47" s="139"/>
      <c r="H47" s="139"/>
      <c r="I47" s="79"/>
      <c r="J47" s="138"/>
      <c r="K47" s="80"/>
      <c r="L47" s="138"/>
      <c r="M47" s="81"/>
      <c r="N47" s="138"/>
      <c r="O47" s="82"/>
      <c r="P47" s="14"/>
      <c r="Q47" s="84"/>
      <c r="R47" s="140"/>
      <c r="S47" s="86"/>
      <c r="T47" s="138"/>
      <c r="U47" s="80"/>
      <c r="V47" s="14"/>
      <c r="W47" s="81"/>
      <c r="X47" s="14"/>
      <c r="Y47" s="87"/>
      <c r="Z47" s="14"/>
      <c r="AA47" s="89"/>
      <c r="AB47" s="14"/>
      <c r="AC47" s="90"/>
      <c r="AD47" s="14"/>
      <c r="AE47" s="82"/>
      <c r="AF47" s="14"/>
      <c r="AH47" s="140"/>
      <c r="AI47" s="86"/>
    </row>
    <row r="48" spans="1:35" x14ac:dyDescent="0.3">
      <c r="G48" s="107"/>
      <c r="H48" s="107"/>
      <c r="I48" s="106"/>
      <c r="J48" s="107"/>
      <c r="K48" s="108"/>
      <c r="L48" s="107"/>
      <c r="M48" s="109"/>
      <c r="N48" s="107"/>
      <c r="O48" s="110"/>
      <c r="R48" s="96"/>
      <c r="S48" s="103"/>
      <c r="T48" s="97"/>
      <c r="U48" s="100"/>
      <c r="AE48" s="110"/>
      <c r="AH48" s="96"/>
      <c r="AI48" s="103"/>
    </row>
    <row r="49" spans="1:35" x14ac:dyDescent="0.3">
      <c r="B49" s="47" t="s">
        <v>108</v>
      </c>
      <c r="G49" s="107"/>
      <c r="H49" s="107"/>
      <c r="I49" s="106"/>
      <c r="J49" s="107"/>
      <c r="K49" s="108"/>
      <c r="L49" s="107"/>
      <c r="M49" s="109"/>
      <c r="N49" s="107"/>
      <c r="O49" s="110"/>
      <c r="R49" s="96"/>
      <c r="S49" s="103"/>
      <c r="T49" s="97"/>
      <c r="U49" s="100"/>
      <c r="AE49" s="110"/>
      <c r="AH49" s="96"/>
      <c r="AI49" s="103"/>
    </row>
    <row r="50" spans="1:35" s="41" customFormat="1" x14ac:dyDescent="0.3">
      <c r="A50" s="41" t="s">
        <v>285</v>
      </c>
      <c r="B50" s="41" t="s">
        <v>286</v>
      </c>
      <c r="G50" s="91">
        <v>435000</v>
      </c>
      <c r="H50" s="123"/>
      <c r="I50" s="122">
        <v>50000</v>
      </c>
      <c r="J50" s="123"/>
      <c r="K50" s="124">
        <v>385000</v>
      </c>
      <c r="L50" s="123"/>
      <c r="M50" s="125"/>
      <c r="N50" s="123"/>
      <c r="O50" s="126"/>
      <c r="Q50" s="84"/>
      <c r="R50" s="105"/>
      <c r="S50" s="86"/>
      <c r="T50" s="95"/>
      <c r="U50" s="80"/>
      <c r="W50" s="81"/>
      <c r="Y50" s="87"/>
      <c r="AA50" s="89"/>
      <c r="AC50" s="90"/>
      <c r="AE50" s="126"/>
      <c r="AG50" s="84"/>
      <c r="AH50" s="105"/>
      <c r="AI50" s="86"/>
    </row>
    <row r="51" spans="1:35" x14ac:dyDescent="0.3">
      <c r="G51" s="107"/>
      <c r="H51" s="107"/>
      <c r="I51" s="106"/>
      <c r="J51" s="107"/>
      <c r="K51" s="108"/>
      <c r="L51" s="107"/>
      <c r="M51" s="109"/>
      <c r="N51" s="107"/>
      <c r="O51" s="110"/>
      <c r="R51" s="96"/>
      <c r="S51" s="103"/>
      <c r="T51" s="97"/>
      <c r="U51" s="100"/>
      <c r="AE51" s="110"/>
      <c r="AH51" s="96"/>
      <c r="AI51" s="103"/>
    </row>
    <row r="52" spans="1:35" x14ac:dyDescent="0.3">
      <c r="G52" s="107"/>
      <c r="H52" s="107"/>
      <c r="I52" s="106"/>
      <c r="J52" s="107"/>
      <c r="K52" s="108"/>
      <c r="L52" s="107"/>
      <c r="M52" s="109"/>
      <c r="N52" s="107"/>
      <c r="O52" s="110"/>
      <c r="R52" s="96"/>
      <c r="S52" s="103"/>
      <c r="T52" s="97"/>
      <c r="U52" s="100"/>
      <c r="AE52" s="110"/>
      <c r="AH52" s="96"/>
      <c r="AI52" s="103"/>
    </row>
    <row r="53" spans="1:35" x14ac:dyDescent="0.3">
      <c r="B53" s="47" t="s">
        <v>109</v>
      </c>
      <c r="G53" s="107"/>
      <c r="H53" s="107"/>
      <c r="I53" s="106"/>
      <c r="J53" s="107"/>
      <c r="K53" s="108"/>
      <c r="L53" s="107"/>
      <c r="M53" s="109"/>
      <c r="N53" s="107"/>
      <c r="O53" s="110"/>
      <c r="R53" s="96"/>
      <c r="S53" s="103"/>
      <c r="T53" s="97"/>
      <c r="U53" s="100"/>
      <c r="AE53" s="110"/>
      <c r="AH53" s="96"/>
      <c r="AI53" s="103"/>
    </row>
    <row r="54" spans="1:35" s="41" customFormat="1" x14ac:dyDescent="0.3">
      <c r="A54" s="38" t="s">
        <v>287</v>
      </c>
      <c r="B54" t="s">
        <v>288</v>
      </c>
      <c r="G54" s="123"/>
      <c r="H54" s="123"/>
      <c r="I54" s="122"/>
      <c r="J54" s="123"/>
      <c r="K54" s="124"/>
      <c r="L54" s="123"/>
      <c r="M54" s="125"/>
      <c r="N54" s="123"/>
      <c r="O54" s="126"/>
      <c r="Q54" s="84"/>
      <c r="R54" s="105"/>
      <c r="S54" s="86"/>
      <c r="T54" s="95"/>
      <c r="U54" s="80"/>
      <c r="W54" s="81"/>
      <c r="Y54" s="87"/>
      <c r="AA54" s="89"/>
      <c r="AC54" s="90"/>
      <c r="AE54" s="126"/>
      <c r="AG54" s="84"/>
      <c r="AH54" s="105"/>
      <c r="AI54" s="86"/>
    </row>
    <row r="55" spans="1:35" ht="18" x14ac:dyDescent="0.35">
      <c r="G55" s="260" t="s">
        <v>79</v>
      </c>
      <c r="H55" s="260"/>
      <c r="I55" s="261">
        <f>SUM(I6:I54)</f>
        <v>2721891.3</v>
      </c>
      <c r="J55" s="260"/>
      <c r="K55" s="262">
        <f>SUM(K6:K54)</f>
        <v>12404000</v>
      </c>
      <c r="L55" s="260"/>
      <c r="M55" s="263">
        <f>SUM(M6:M54)</f>
        <v>17285300</v>
      </c>
      <c r="N55" s="260"/>
      <c r="O55" s="264">
        <f>SUM(O6:O54)</f>
        <v>6645000</v>
      </c>
      <c r="P55" s="265"/>
      <c r="Q55" s="266">
        <f>SUM(Q6:Q54)</f>
        <v>11164000</v>
      </c>
      <c r="R55" s="267"/>
      <c r="S55" s="268">
        <f>SUM(S6:S54)</f>
        <v>11338000</v>
      </c>
      <c r="T55" s="269"/>
      <c r="U55" s="270">
        <f>SUM(U6:U54)</f>
        <v>7537500</v>
      </c>
      <c r="V55" s="265"/>
      <c r="W55" s="271">
        <f>SUM(W6:W54)</f>
        <v>2415500</v>
      </c>
      <c r="X55" s="265"/>
      <c r="Y55" s="272">
        <f>SUM(Y6:Y54)</f>
        <v>220000</v>
      </c>
      <c r="Z55" s="265"/>
      <c r="AA55" s="273">
        <f>SUM(AA6:AA54)</f>
        <v>2343000</v>
      </c>
      <c r="AB55" s="265"/>
      <c r="AC55" s="274">
        <f>SUM(AC6:AC54)</f>
        <v>988000</v>
      </c>
      <c r="AD55" s="265"/>
      <c r="AE55" s="264">
        <f>SUM(AE6:AE54)</f>
        <v>800000</v>
      </c>
      <c r="AF55" s="265"/>
      <c r="AG55" s="266">
        <f>SUM(AG6:AG54)</f>
        <v>1700000</v>
      </c>
      <c r="AH55" s="275"/>
      <c r="AI55" s="276"/>
    </row>
    <row r="56" spans="1:35" x14ac:dyDescent="0.3">
      <c r="G56" s="107"/>
      <c r="H56" s="107"/>
      <c r="I56" s="106"/>
      <c r="J56" s="107"/>
      <c r="K56" s="108"/>
      <c r="L56" s="107"/>
      <c r="M56" s="109"/>
      <c r="N56" s="107"/>
      <c r="O56" s="110"/>
      <c r="R56" s="96"/>
      <c r="S56" s="103"/>
      <c r="T56" s="97"/>
      <c r="U56" s="100"/>
      <c r="AE56" s="110"/>
      <c r="AH56" s="96"/>
      <c r="AI56" s="103"/>
    </row>
    <row r="57" spans="1:35" x14ac:dyDescent="0.3">
      <c r="R57" s="96"/>
      <c r="S57" s="103"/>
      <c r="T57" s="97"/>
      <c r="U57" s="100"/>
      <c r="AG57" s="414">
        <v>44096</v>
      </c>
      <c r="AH57" s="96"/>
      <c r="AI57" s="103"/>
    </row>
    <row r="58" spans="1:35" x14ac:dyDescent="0.3">
      <c r="R58" s="96"/>
      <c r="S58" s="103"/>
      <c r="T58" s="97"/>
      <c r="U58" s="100"/>
      <c r="AH58" s="96"/>
      <c r="AI58" s="103"/>
    </row>
    <row r="59" spans="1:35" x14ac:dyDescent="0.3">
      <c r="R59" s="96"/>
      <c r="S59" s="103"/>
      <c r="T59" s="97"/>
      <c r="U59" s="100"/>
      <c r="AH59" s="96"/>
      <c r="AI59" s="103"/>
    </row>
    <row r="60" spans="1:35" x14ac:dyDescent="0.3">
      <c r="R60" s="96"/>
      <c r="S60" s="103"/>
      <c r="T60" s="97"/>
      <c r="U60" s="100"/>
      <c r="AH60" s="96"/>
      <c r="AI60" s="103"/>
    </row>
    <row r="61" spans="1:35" x14ac:dyDescent="0.3">
      <c r="R61" s="96"/>
      <c r="S61" s="103"/>
      <c r="T61" s="97"/>
      <c r="U61" s="100"/>
      <c r="AH61" s="96"/>
      <c r="AI61" s="103"/>
    </row>
    <row r="62" spans="1:35" x14ac:dyDescent="0.3">
      <c r="R62" s="96"/>
      <c r="S62" s="103"/>
      <c r="T62" s="97"/>
      <c r="U62" s="100"/>
      <c r="AH62" s="96"/>
      <c r="AI62" s="103"/>
    </row>
    <row r="63" spans="1:35" x14ac:dyDescent="0.3">
      <c r="R63" s="96"/>
      <c r="S63" s="103"/>
      <c r="T63" s="97"/>
      <c r="U63" s="100"/>
      <c r="AH63" s="96"/>
      <c r="AI63" s="103"/>
    </row>
    <row r="64" spans="1:35" x14ac:dyDescent="0.3">
      <c r="R64" s="96"/>
      <c r="S64" s="103"/>
      <c r="T64" s="97"/>
      <c r="U64" s="100"/>
      <c r="AH64" s="96"/>
      <c r="AI64" s="103"/>
    </row>
    <row r="65" spans="9:35" x14ac:dyDescent="0.3">
      <c r="R65" s="96"/>
      <c r="S65" s="103"/>
      <c r="T65" s="97"/>
      <c r="U65" s="100"/>
      <c r="AH65" s="96"/>
      <c r="AI65" s="103"/>
    </row>
    <row r="66" spans="9:35" x14ac:dyDescent="0.3">
      <c r="R66" s="96"/>
      <c r="S66" s="103"/>
      <c r="T66" s="97"/>
      <c r="U66" s="100"/>
      <c r="AH66" s="96"/>
      <c r="AI66" s="103"/>
    </row>
    <row r="67" spans="9:35" x14ac:dyDescent="0.3">
      <c r="R67" s="96"/>
      <c r="S67" s="103"/>
      <c r="T67" s="97"/>
      <c r="U67" s="100"/>
      <c r="AH67" s="96"/>
      <c r="AI67" s="103"/>
    </row>
    <row r="68" spans="9:35" x14ac:dyDescent="0.3">
      <c r="R68" s="96"/>
      <c r="S68" s="103"/>
      <c r="T68" s="97"/>
      <c r="U68" s="100"/>
      <c r="AH68" s="96"/>
      <c r="AI68" s="103"/>
    </row>
    <row r="69" spans="9:35" x14ac:dyDescent="0.3">
      <c r="R69" s="96"/>
      <c r="S69" s="103"/>
      <c r="T69" s="97"/>
      <c r="U69" s="100"/>
      <c r="AH69" s="96"/>
      <c r="AI69" s="103"/>
    </row>
    <row r="70" spans="9:35" x14ac:dyDescent="0.3">
      <c r="R70" s="96"/>
      <c r="S70" s="103"/>
      <c r="T70" s="97"/>
      <c r="U70" s="100"/>
      <c r="AH70" s="96"/>
      <c r="AI70" s="103"/>
    </row>
    <row r="71" spans="9:35" x14ac:dyDescent="0.3">
      <c r="R71" s="96"/>
      <c r="S71" s="103"/>
      <c r="T71" s="97"/>
      <c r="U71" s="100"/>
      <c r="AH71" s="96"/>
      <c r="AI71" s="103"/>
    </row>
    <row r="72" spans="9:35" s="46" customFormat="1" x14ac:dyDescent="0.3">
      <c r="I72" s="128"/>
      <c r="K72" s="129"/>
      <c r="M72" s="130"/>
      <c r="O72" s="131"/>
      <c r="Q72" s="132"/>
      <c r="S72" s="133"/>
      <c r="U72" s="129"/>
      <c r="W72" s="134"/>
      <c r="Y72" s="135"/>
      <c r="AA72" s="136"/>
      <c r="AC72" s="137"/>
      <c r="AE72" s="131"/>
      <c r="AG72" s="132"/>
      <c r="AI72" s="133"/>
    </row>
  </sheetData>
  <mergeCells count="1">
    <mergeCell ref="A1:G2"/>
  </mergeCells>
  <pageMargins left="0.2" right="0.2" top="0.75" bottom="0.75" header="0.3" footer="0.3"/>
  <pageSetup paperSize="3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2"/>
  <sheetViews>
    <sheetView view="pageBreakPreview" topLeftCell="Q25" zoomScale="80" zoomScaleNormal="100" zoomScaleSheetLayoutView="80" workbookViewId="0">
      <selection activeCell="A40" activeCellId="1" sqref="H13:H16 A40"/>
    </sheetView>
  </sheetViews>
  <sheetFormatPr defaultRowHeight="14.4" x14ac:dyDescent="0.3"/>
  <cols>
    <col min="10" max="10" width="3.33203125" customWidth="1"/>
    <col min="12" max="12" width="8.88671875" customWidth="1"/>
    <col min="13" max="13" width="18.33203125" style="48" hidden="1" customWidth="1"/>
    <col min="14" max="14" width="0" hidden="1" customWidth="1"/>
    <col min="15" max="15" width="18.33203125" style="49" customWidth="1"/>
    <col min="17" max="17" width="18.33203125" style="50" customWidth="1"/>
    <col min="19" max="19" width="18.33203125" style="51" customWidth="1"/>
    <col min="21" max="21" width="19.109375" style="52" bestFit="1" customWidth="1"/>
    <col min="22" max="22" width="9.109375" style="53"/>
    <col min="23" max="23" width="17.44140625" style="54" bestFit="1" customWidth="1"/>
    <col min="25" max="25" width="17" style="49" customWidth="1"/>
    <col min="27" max="27" width="17.44140625" style="55" bestFit="1" customWidth="1"/>
    <col min="29" max="29" width="17" style="56" customWidth="1"/>
    <col min="31" max="31" width="17" style="57" customWidth="1"/>
    <col min="33" max="33" width="17" style="58" customWidth="1"/>
  </cols>
  <sheetData>
    <row r="1" spans="1:33" ht="15.6" x14ac:dyDescent="0.3">
      <c r="A1" s="440" t="s">
        <v>347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2"/>
      <c r="M1" s="277"/>
      <c r="N1" s="278"/>
      <c r="O1" s="279"/>
      <c r="P1" s="278"/>
      <c r="Q1" s="280"/>
      <c r="R1" s="278"/>
      <c r="S1" s="281"/>
      <c r="T1" s="278"/>
      <c r="U1" s="282"/>
      <c r="V1" s="283"/>
      <c r="W1" s="284"/>
      <c r="X1" s="278"/>
      <c r="Y1" s="279"/>
      <c r="Z1" s="278"/>
      <c r="AA1" s="285"/>
      <c r="AB1" s="278"/>
      <c r="AC1" s="286"/>
      <c r="AD1" s="278"/>
      <c r="AE1" s="287"/>
      <c r="AF1" s="278"/>
      <c r="AG1" s="288"/>
    </row>
    <row r="2" spans="1:33" ht="15.6" x14ac:dyDescent="0.3">
      <c r="A2" s="443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5"/>
      <c r="M2" s="60" t="s">
        <v>8</v>
      </c>
      <c r="N2" s="59"/>
      <c r="O2" s="61" t="s">
        <v>9</v>
      </c>
      <c r="P2" s="59"/>
      <c r="Q2" s="62" t="s">
        <v>10</v>
      </c>
      <c r="R2" s="59"/>
      <c r="S2" s="63" t="s">
        <v>11</v>
      </c>
      <c r="T2" s="278"/>
      <c r="U2" s="64" t="s">
        <v>14</v>
      </c>
      <c r="V2" s="283"/>
      <c r="W2" s="65" t="s">
        <v>16</v>
      </c>
      <c r="X2" s="278"/>
      <c r="Y2" s="61" t="s">
        <v>17</v>
      </c>
      <c r="Z2" s="278"/>
      <c r="AA2" s="66" t="s">
        <v>18</v>
      </c>
      <c r="AB2" s="278"/>
      <c r="AC2" s="67" t="s">
        <v>19</v>
      </c>
      <c r="AD2" s="278"/>
      <c r="AE2" s="68" t="s">
        <v>77</v>
      </c>
      <c r="AF2" s="278"/>
      <c r="AG2" s="69" t="s">
        <v>78</v>
      </c>
    </row>
    <row r="3" spans="1:33" ht="15.6" x14ac:dyDescent="0.3">
      <c r="A3" s="446" t="s">
        <v>259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8"/>
      <c r="M3" s="289"/>
      <c r="N3" s="290"/>
      <c r="O3" s="291"/>
      <c r="P3" s="290"/>
      <c r="Q3" s="292"/>
      <c r="R3" s="290"/>
      <c r="S3" s="293"/>
      <c r="T3" s="290"/>
      <c r="U3" s="282"/>
      <c r="V3" s="283"/>
      <c r="W3" s="294"/>
      <c r="X3" s="290"/>
      <c r="Y3" s="291"/>
      <c r="Z3" s="290"/>
      <c r="AA3" s="295"/>
      <c r="AB3" s="290"/>
      <c r="AC3" s="296"/>
      <c r="AD3" s="290"/>
      <c r="AE3" s="297"/>
      <c r="AF3" s="290"/>
      <c r="AG3" s="298"/>
    </row>
    <row r="4" spans="1:33" ht="15.6" x14ac:dyDescent="0.3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1"/>
      <c r="M4" s="277"/>
      <c r="N4" s="278"/>
      <c r="O4" s="279"/>
      <c r="P4" s="278"/>
      <c r="Q4" s="280"/>
      <c r="R4" s="278"/>
      <c r="S4" s="281"/>
      <c r="T4" s="278"/>
      <c r="U4" s="282"/>
      <c r="V4" s="283"/>
      <c r="W4" s="284"/>
      <c r="X4" s="278"/>
      <c r="Y4" s="279"/>
      <c r="Z4" s="278"/>
      <c r="AA4" s="285"/>
      <c r="AB4" s="278"/>
      <c r="AC4" s="286"/>
      <c r="AD4" s="278"/>
      <c r="AE4" s="287"/>
      <c r="AF4" s="278"/>
      <c r="AG4" s="288"/>
    </row>
    <row r="5" spans="1:33" ht="15.6" x14ac:dyDescent="0.3">
      <c r="A5" s="299" t="s">
        <v>260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277"/>
      <c r="N5" s="278"/>
      <c r="O5" s="279"/>
      <c r="P5" s="278"/>
      <c r="Q5" s="280"/>
      <c r="R5" s="278"/>
      <c r="S5" s="281"/>
      <c r="T5" s="278"/>
      <c r="U5" s="282"/>
      <c r="V5" s="283"/>
      <c r="W5" s="284"/>
      <c r="X5" s="278"/>
      <c r="Y5" s="279"/>
      <c r="Z5" s="278"/>
      <c r="AA5" s="285"/>
      <c r="AB5" s="278"/>
      <c r="AC5" s="286"/>
      <c r="AD5" s="278"/>
      <c r="AE5" s="287"/>
      <c r="AF5" s="278"/>
      <c r="AG5" s="288"/>
    </row>
    <row r="6" spans="1:33" ht="15.6" x14ac:dyDescent="0.3">
      <c r="A6" s="301" t="s">
        <v>75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302"/>
      <c r="N6" s="303"/>
      <c r="O6" s="304"/>
      <c r="P6" s="303"/>
      <c r="Q6" s="305"/>
      <c r="R6" s="303"/>
      <c r="S6" s="306"/>
      <c r="T6" s="307"/>
      <c r="U6" s="308"/>
      <c r="V6" s="309"/>
      <c r="W6" s="310"/>
      <c r="X6" s="311"/>
      <c r="Y6" s="304"/>
      <c r="Z6" s="312"/>
      <c r="AA6" s="305"/>
      <c r="AB6" s="312"/>
      <c r="AC6" s="313"/>
      <c r="AD6" s="312"/>
      <c r="AE6" s="314"/>
      <c r="AF6" s="312"/>
      <c r="AG6" s="315"/>
    </row>
    <row r="7" spans="1:33" ht="15.6" x14ac:dyDescent="0.3">
      <c r="A7" s="278"/>
      <c r="B7" s="316" t="s">
        <v>261</v>
      </c>
      <c r="C7" s="317"/>
      <c r="D7" s="317"/>
      <c r="E7" s="317"/>
      <c r="F7" s="317"/>
      <c r="G7" s="317"/>
      <c r="H7" s="317"/>
      <c r="I7" s="317"/>
      <c r="J7" s="317"/>
      <c r="K7" s="317"/>
      <c r="L7" s="318"/>
      <c r="M7" s="302">
        <v>65000</v>
      </c>
      <c r="N7" s="303"/>
      <c r="O7" s="304">
        <v>135000</v>
      </c>
      <c r="P7" s="303"/>
      <c r="Q7" s="305">
        <v>135000</v>
      </c>
      <c r="R7" s="303"/>
      <c r="S7" s="306">
        <v>135000</v>
      </c>
      <c r="T7" s="307"/>
      <c r="U7" s="308">
        <v>135000</v>
      </c>
      <c r="V7" s="309"/>
      <c r="W7" s="310">
        <v>135000</v>
      </c>
      <c r="X7" s="311"/>
      <c r="Y7" s="304">
        <v>135000</v>
      </c>
      <c r="Z7" s="312"/>
      <c r="AA7" s="305">
        <v>135000</v>
      </c>
      <c r="AB7" s="312"/>
      <c r="AC7" s="313">
        <v>135000</v>
      </c>
      <c r="AD7" s="312"/>
      <c r="AE7" s="314">
        <v>135000</v>
      </c>
      <c r="AF7" s="312"/>
      <c r="AG7" s="315">
        <v>135000</v>
      </c>
    </row>
    <row r="8" spans="1:33" ht="15.6" x14ac:dyDescent="0.3">
      <c r="A8" s="278"/>
      <c r="B8" s="316" t="s">
        <v>262</v>
      </c>
      <c r="C8" s="317"/>
      <c r="D8" s="317"/>
      <c r="E8" s="317"/>
      <c r="F8" s="317"/>
      <c r="G8" s="317"/>
      <c r="H8" s="317"/>
      <c r="I8" s="317"/>
      <c r="J8" s="317"/>
      <c r="K8" s="317"/>
      <c r="L8" s="318"/>
      <c r="M8" s="302">
        <v>65000</v>
      </c>
      <c r="N8" s="303"/>
      <c r="O8" s="304">
        <v>125000</v>
      </c>
      <c r="P8" s="303"/>
      <c r="Q8" s="305"/>
      <c r="R8" s="303"/>
      <c r="S8" s="306">
        <v>125000</v>
      </c>
      <c r="T8" s="307"/>
      <c r="U8" s="308"/>
      <c r="V8" s="309"/>
      <c r="W8" s="310"/>
      <c r="X8" s="311"/>
      <c r="Y8" s="304"/>
      <c r="Z8" s="312"/>
      <c r="AA8" s="305">
        <v>125000</v>
      </c>
      <c r="AB8" s="312"/>
      <c r="AC8" s="313"/>
      <c r="AD8" s="312"/>
      <c r="AE8" s="314"/>
      <c r="AF8" s="312"/>
      <c r="AG8" s="315"/>
    </row>
    <row r="9" spans="1:33" ht="15.6" x14ac:dyDescent="0.3">
      <c r="A9" s="278"/>
      <c r="B9" s="316" t="s">
        <v>264</v>
      </c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302"/>
      <c r="N9" s="303"/>
      <c r="O9" s="304">
        <v>35000</v>
      </c>
      <c r="P9" s="303"/>
      <c r="Q9" s="305">
        <v>35000</v>
      </c>
      <c r="R9" s="303"/>
      <c r="S9" s="306">
        <v>35000</v>
      </c>
      <c r="T9" s="307"/>
      <c r="U9" s="308"/>
      <c r="V9" s="309"/>
      <c r="W9" s="310"/>
      <c r="X9" s="311"/>
      <c r="Y9" s="304"/>
      <c r="Z9" s="312"/>
      <c r="AA9" s="305">
        <v>35000</v>
      </c>
      <c r="AB9" s="312"/>
      <c r="AC9" s="313"/>
      <c r="AD9" s="312"/>
      <c r="AE9" s="314"/>
      <c r="AF9" s="312"/>
      <c r="AG9" s="315"/>
    </row>
    <row r="10" spans="1:33" ht="15.6" x14ac:dyDescent="0.3">
      <c r="A10" s="278"/>
      <c r="B10" s="316" t="s">
        <v>289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302"/>
      <c r="N10" s="303"/>
      <c r="O10" s="304"/>
      <c r="P10" s="303"/>
      <c r="Q10" s="305"/>
      <c r="R10" s="303"/>
      <c r="S10" s="306">
        <v>200000</v>
      </c>
      <c r="T10" s="307"/>
      <c r="U10" s="308"/>
      <c r="V10" s="309"/>
      <c r="W10" s="310"/>
      <c r="X10" s="311"/>
      <c r="Y10" s="304"/>
      <c r="Z10" s="312"/>
      <c r="AA10" s="305"/>
      <c r="AB10" s="312"/>
      <c r="AC10" s="313"/>
      <c r="AD10" s="312"/>
      <c r="AE10" s="314"/>
      <c r="AF10" s="312"/>
      <c r="AG10" s="315"/>
    </row>
    <row r="11" spans="1:33" ht="15.6" x14ac:dyDescent="0.3">
      <c r="A11" s="278"/>
      <c r="B11" s="316" t="s">
        <v>290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8"/>
      <c r="M11" s="302"/>
      <c r="N11" s="303"/>
      <c r="O11" s="304"/>
      <c r="P11" s="303"/>
      <c r="Q11" s="305">
        <v>100000</v>
      </c>
      <c r="R11" s="303"/>
      <c r="S11" s="306"/>
      <c r="T11" s="307"/>
      <c r="U11" s="308"/>
      <c r="V11" s="309"/>
      <c r="W11" s="310"/>
      <c r="X11" s="311"/>
      <c r="Y11" s="304"/>
      <c r="Z11" s="312"/>
      <c r="AA11" s="305">
        <v>100000</v>
      </c>
      <c r="AB11" s="312"/>
      <c r="AC11" s="313"/>
      <c r="AD11" s="312"/>
      <c r="AE11" s="314"/>
      <c r="AF11" s="312"/>
      <c r="AG11" s="315"/>
    </row>
    <row r="12" spans="1:33" ht="15.6" x14ac:dyDescent="0.3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302"/>
      <c r="N12" s="303"/>
      <c r="O12" s="304"/>
      <c r="P12" s="303"/>
      <c r="Q12" s="305"/>
      <c r="R12" s="303"/>
      <c r="S12" s="306"/>
      <c r="T12" s="307"/>
      <c r="U12" s="308"/>
      <c r="V12" s="309"/>
      <c r="W12" s="310"/>
      <c r="X12" s="311"/>
      <c r="Y12" s="304"/>
      <c r="Z12" s="312"/>
      <c r="AA12" s="305"/>
      <c r="AB12" s="312"/>
      <c r="AC12" s="313"/>
      <c r="AD12" s="312"/>
      <c r="AE12" s="314"/>
      <c r="AF12" s="312"/>
      <c r="AG12" s="315"/>
    </row>
    <row r="13" spans="1:33" ht="15.6" x14ac:dyDescent="0.3">
      <c r="A13" s="301" t="s">
        <v>73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302"/>
      <c r="N13" s="319"/>
      <c r="O13" s="304"/>
      <c r="P13" s="319"/>
      <c r="Q13" s="305"/>
      <c r="R13" s="319"/>
      <c r="S13" s="306"/>
      <c r="T13" s="317"/>
      <c r="U13" s="308"/>
      <c r="V13" s="320"/>
      <c r="W13" s="310"/>
      <c r="X13" s="321"/>
      <c r="Y13" s="304"/>
      <c r="Z13" s="322"/>
      <c r="AA13" s="305"/>
      <c r="AB13" s="278"/>
      <c r="AC13" s="313"/>
      <c r="AD13" s="278"/>
      <c r="AE13" s="314"/>
      <c r="AF13" s="278"/>
      <c r="AG13" s="315"/>
    </row>
    <row r="14" spans="1:33" ht="15.6" x14ac:dyDescent="0.3">
      <c r="A14" s="278"/>
      <c r="B14" s="316" t="s">
        <v>265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302">
        <v>100000</v>
      </c>
      <c r="N14" s="319"/>
      <c r="O14" s="304">
        <v>50000</v>
      </c>
      <c r="P14" s="319"/>
      <c r="Q14" s="305">
        <v>50000</v>
      </c>
      <c r="R14" s="319"/>
      <c r="S14" s="306">
        <v>50000</v>
      </c>
      <c r="T14" s="317"/>
      <c r="U14" s="308">
        <v>50000</v>
      </c>
      <c r="V14" s="320"/>
      <c r="W14" s="310">
        <v>50000</v>
      </c>
      <c r="X14" s="321"/>
      <c r="Y14" s="304">
        <v>50000</v>
      </c>
      <c r="Z14" s="322"/>
      <c r="AA14" s="305">
        <v>50000</v>
      </c>
      <c r="AB14" s="278"/>
      <c r="AC14" s="313">
        <v>50000</v>
      </c>
      <c r="AD14" s="278"/>
      <c r="AE14" s="314">
        <v>50000</v>
      </c>
      <c r="AF14" s="278"/>
      <c r="AG14" s="315">
        <v>50000</v>
      </c>
    </row>
    <row r="15" spans="1:33" ht="18" x14ac:dyDescent="0.35">
      <c r="A15" s="278"/>
      <c r="B15" s="323"/>
      <c r="C15" s="323"/>
      <c r="D15" s="323"/>
      <c r="E15" s="323"/>
      <c r="F15" s="323"/>
      <c r="G15" s="323"/>
      <c r="H15" s="323"/>
      <c r="I15" s="323"/>
      <c r="J15" s="323"/>
      <c r="K15" s="324" t="s">
        <v>291</v>
      </c>
      <c r="L15" s="325"/>
      <c r="M15" s="326">
        <f>SUM(M7:M14)</f>
        <v>230000</v>
      </c>
      <c r="N15" s="327"/>
      <c r="O15" s="270">
        <f>SUM(O7:O14)</f>
        <v>345000</v>
      </c>
      <c r="P15" s="327"/>
      <c r="Q15" s="271">
        <f>SUM(Q7:Q14)</f>
        <v>320000</v>
      </c>
      <c r="R15" s="327"/>
      <c r="S15" s="328">
        <f>SUM(S7:S14)</f>
        <v>545000</v>
      </c>
      <c r="T15" s="329"/>
      <c r="U15" s="266">
        <f>SUM(U7:U14)</f>
        <v>185000</v>
      </c>
      <c r="V15" s="330"/>
      <c r="W15" s="268">
        <f>SUM(W7:W14)</f>
        <v>185000</v>
      </c>
      <c r="X15" s="331"/>
      <c r="Y15" s="270">
        <f>SUM(Y7:Y14)</f>
        <v>185000</v>
      </c>
      <c r="Z15" s="332"/>
      <c r="AA15" s="271">
        <f>SUM(AA7:AA14)</f>
        <v>445000</v>
      </c>
      <c r="AB15" s="333"/>
      <c r="AC15" s="272">
        <f>SUM(AC7:AC14)</f>
        <v>185000</v>
      </c>
      <c r="AD15" s="333"/>
      <c r="AE15" s="273">
        <f>SUM(AE7:AE14)</f>
        <v>185000</v>
      </c>
      <c r="AF15" s="333"/>
      <c r="AG15" s="274">
        <f>SUM(AG7:AG14)</f>
        <v>185000</v>
      </c>
    </row>
    <row r="16" spans="1:33" ht="15.6" x14ac:dyDescent="0.3">
      <c r="A16" s="439" t="s">
        <v>343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52"/>
      <c r="M16" s="302"/>
      <c r="N16" s="319"/>
      <c r="O16" s="304"/>
      <c r="P16" s="319"/>
      <c r="Q16" s="305"/>
      <c r="R16" s="319"/>
      <c r="S16" s="306"/>
      <c r="T16" s="317"/>
      <c r="U16" s="308"/>
      <c r="V16" s="320"/>
      <c r="W16" s="310"/>
      <c r="X16" s="321"/>
      <c r="Y16" s="304"/>
      <c r="Z16" s="322"/>
      <c r="AA16" s="305"/>
      <c r="AB16" s="278"/>
      <c r="AC16" s="313"/>
      <c r="AD16" s="278"/>
      <c r="AE16" s="314"/>
      <c r="AF16" s="278"/>
      <c r="AG16" s="315"/>
    </row>
    <row r="17" spans="1:33" ht="15.6" x14ac:dyDescent="0.3">
      <c r="A17" s="439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52"/>
      <c r="M17" s="302"/>
      <c r="N17" s="319"/>
      <c r="O17" s="304"/>
      <c r="P17" s="319"/>
      <c r="Q17" s="305"/>
      <c r="R17" s="319"/>
      <c r="S17" s="306"/>
      <c r="T17" s="317"/>
      <c r="U17" s="308"/>
      <c r="V17" s="320"/>
      <c r="W17" s="310"/>
      <c r="X17" s="321"/>
      <c r="Y17" s="304"/>
      <c r="Z17" s="278"/>
      <c r="AA17" s="305"/>
      <c r="AB17" s="278"/>
      <c r="AC17" s="313"/>
      <c r="AD17" s="278"/>
      <c r="AE17" s="314"/>
      <c r="AF17" s="278"/>
      <c r="AG17" s="315"/>
    </row>
    <row r="18" spans="1:33" ht="15.6" x14ac:dyDescent="0.3">
      <c r="A18" s="301" t="s">
        <v>72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302"/>
      <c r="N18" s="303"/>
      <c r="O18" s="304"/>
      <c r="P18" s="303"/>
      <c r="Q18" s="305"/>
      <c r="R18" s="303"/>
      <c r="S18" s="306"/>
      <c r="T18" s="307"/>
      <c r="U18" s="308"/>
      <c r="V18" s="309"/>
      <c r="W18" s="310"/>
      <c r="X18" s="311"/>
      <c r="Y18" s="304"/>
      <c r="Z18" s="312"/>
      <c r="AA18" s="305"/>
      <c r="AB18" s="312"/>
      <c r="AC18" s="313"/>
      <c r="AD18" s="312"/>
      <c r="AE18" s="314"/>
      <c r="AF18" s="312"/>
      <c r="AG18" s="315"/>
    </row>
    <row r="19" spans="1:33" ht="15.6" x14ac:dyDescent="0.3">
      <c r="A19" s="278"/>
      <c r="B19" s="316" t="s">
        <v>81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302">
        <v>600000</v>
      </c>
      <c r="N19" s="303"/>
      <c r="O19" s="304">
        <v>716000</v>
      </c>
      <c r="P19" s="303"/>
      <c r="Q19" s="305"/>
      <c r="R19" s="303"/>
      <c r="S19" s="306">
        <v>720000</v>
      </c>
      <c r="T19" s="307"/>
      <c r="U19" s="308"/>
      <c r="V19" s="309"/>
      <c r="W19" s="310">
        <v>740000</v>
      </c>
      <c r="X19" s="311"/>
      <c r="Y19" s="304">
        <v>1500000</v>
      </c>
      <c r="Z19" s="312"/>
      <c r="AA19" s="305">
        <v>1500000</v>
      </c>
      <c r="AB19" s="312"/>
      <c r="AC19" s="313">
        <v>2250000</v>
      </c>
      <c r="AD19" s="312"/>
      <c r="AE19" s="314">
        <v>2250000</v>
      </c>
      <c r="AF19" s="312"/>
      <c r="AG19" s="315">
        <v>2250000</v>
      </c>
    </row>
    <row r="20" spans="1:33" ht="15.6" x14ac:dyDescent="0.3">
      <c r="A20" s="278"/>
      <c r="B20" s="316" t="s">
        <v>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302"/>
      <c r="N20" s="303"/>
      <c r="O20" s="304"/>
      <c r="P20" s="303"/>
      <c r="Q20" s="305"/>
      <c r="R20" s="303"/>
      <c r="S20" s="306"/>
      <c r="T20" s="307"/>
      <c r="U20" s="308"/>
      <c r="V20" s="309"/>
      <c r="W20" s="310"/>
      <c r="X20" s="311"/>
      <c r="Y20" s="304"/>
      <c r="Z20" s="312"/>
      <c r="AA20" s="305"/>
      <c r="AB20" s="312"/>
      <c r="AC20" s="313"/>
      <c r="AD20" s="312"/>
      <c r="AE20" s="314"/>
      <c r="AF20" s="312"/>
      <c r="AG20" s="315"/>
    </row>
    <row r="21" spans="1:33" ht="15.6" x14ac:dyDescent="0.3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302"/>
      <c r="N21" s="303"/>
      <c r="O21" s="304"/>
      <c r="P21" s="303"/>
      <c r="Q21" s="305"/>
      <c r="R21" s="303"/>
      <c r="S21" s="306"/>
      <c r="T21" s="307"/>
      <c r="U21" s="308"/>
      <c r="V21" s="334"/>
      <c r="W21" s="310"/>
      <c r="X21" s="335"/>
      <c r="Y21" s="304"/>
      <c r="Z21" s="312"/>
      <c r="AA21" s="305"/>
      <c r="AB21" s="312"/>
      <c r="AC21" s="313"/>
      <c r="AD21" s="312"/>
      <c r="AE21" s="314"/>
      <c r="AF21" s="312"/>
      <c r="AG21" s="315"/>
    </row>
    <row r="22" spans="1:33" ht="15.6" x14ac:dyDescent="0.3">
      <c r="A22" s="301" t="s">
        <v>134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302"/>
      <c r="N22" s="319"/>
      <c r="O22" s="304"/>
      <c r="P22" s="319"/>
      <c r="Q22" s="305"/>
      <c r="R22" s="319"/>
      <c r="S22" s="306"/>
      <c r="T22" s="317"/>
      <c r="U22" s="308"/>
      <c r="V22" s="320"/>
      <c r="W22" s="310"/>
      <c r="X22" s="321"/>
      <c r="Y22" s="304"/>
      <c r="Z22" s="278"/>
      <c r="AA22" s="305"/>
      <c r="AB22" s="278"/>
      <c r="AC22" s="313"/>
      <c r="AD22" s="278"/>
      <c r="AE22" s="314"/>
      <c r="AF22" s="278"/>
      <c r="AG22" s="315"/>
    </row>
    <row r="23" spans="1:33" ht="15.6" x14ac:dyDescent="0.3">
      <c r="A23" s="278"/>
      <c r="B23" s="316" t="s">
        <v>76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8"/>
      <c r="M23" s="302">
        <v>0</v>
      </c>
      <c r="N23" s="319"/>
      <c r="O23" s="304">
        <v>0</v>
      </c>
      <c r="P23" s="319"/>
      <c r="Q23" s="305">
        <v>1500000</v>
      </c>
      <c r="R23" s="319"/>
      <c r="S23" s="306">
        <v>2000000</v>
      </c>
      <c r="T23" s="317"/>
      <c r="U23" s="308">
        <v>1500000</v>
      </c>
      <c r="V23" s="320"/>
      <c r="W23" s="310">
        <v>2500000</v>
      </c>
      <c r="X23" s="321"/>
      <c r="Y23" s="304">
        <v>1000000</v>
      </c>
      <c r="Z23" s="278"/>
      <c r="AA23" s="305">
        <v>1000000</v>
      </c>
      <c r="AB23" s="278"/>
      <c r="AC23" s="313">
        <v>0</v>
      </c>
      <c r="AD23" s="278"/>
      <c r="AE23" s="314">
        <v>1000000</v>
      </c>
      <c r="AF23" s="278"/>
      <c r="AG23" s="315">
        <v>0</v>
      </c>
    </row>
    <row r="24" spans="1:33" ht="15.6" x14ac:dyDescent="0.3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302"/>
      <c r="N24" s="319"/>
      <c r="O24" s="304"/>
      <c r="P24" s="319"/>
      <c r="Q24" s="305"/>
      <c r="R24" s="319"/>
      <c r="S24" s="306"/>
      <c r="T24" s="317"/>
      <c r="U24" s="308"/>
      <c r="V24" s="320"/>
      <c r="W24" s="310"/>
      <c r="X24" s="321"/>
      <c r="Y24" s="304"/>
      <c r="Z24" s="278"/>
      <c r="AA24" s="305"/>
      <c r="AB24" s="278"/>
      <c r="AC24" s="313"/>
      <c r="AD24" s="278"/>
      <c r="AE24" s="314"/>
      <c r="AF24" s="278"/>
      <c r="AG24" s="315"/>
    </row>
    <row r="25" spans="1:33" ht="15.6" x14ac:dyDescent="0.3">
      <c r="A25" s="301" t="s">
        <v>80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302"/>
      <c r="N25" s="319"/>
      <c r="O25" s="304"/>
      <c r="P25" s="319"/>
      <c r="Q25" s="305"/>
      <c r="R25" s="319"/>
      <c r="S25" s="306"/>
      <c r="T25" s="317"/>
      <c r="U25" s="308"/>
      <c r="V25" s="320"/>
      <c r="W25" s="310"/>
      <c r="X25" s="321"/>
      <c r="Y25" s="304"/>
      <c r="Z25" s="278"/>
      <c r="AA25" s="305"/>
      <c r="AB25" s="278"/>
      <c r="AC25" s="313"/>
      <c r="AD25" s="278"/>
      <c r="AE25" s="314"/>
      <c r="AF25" s="278"/>
      <c r="AG25" s="315"/>
    </row>
    <row r="26" spans="1:33" ht="15.6" x14ac:dyDescent="0.3">
      <c r="A26" s="278"/>
      <c r="B26" s="316" t="s">
        <v>83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8"/>
      <c r="M26" s="302">
        <v>400000</v>
      </c>
      <c r="N26" s="319"/>
      <c r="O26" s="304"/>
      <c r="P26" s="319"/>
      <c r="Q26" s="305"/>
      <c r="R26" s="319"/>
      <c r="S26" s="306"/>
      <c r="T26" s="317"/>
      <c r="U26" s="308">
        <v>500000</v>
      </c>
      <c r="V26" s="320"/>
      <c r="W26" s="310">
        <v>0</v>
      </c>
      <c r="X26" s="321"/>
      <c r="Y26" s="304">
        <v>1200000</v>
      </c>
      <c r="Z26" s="278"/>
      <c r="AA26" s="305"/>
      <c r="AB26" s="278"/>
      <c r="AC26" s="313"/>
      <c r="AD26" s="278"/>
      <c r="AE26" s="314"/>
      <c r="AF26" s="278"/>
      <c r="AG26" s="315"/>
    </row>
    <row r="27" spans="1:33" ht="15.6" x14ac:dyDescent="0.3">
      <c r="A27" s="278"/>
      <c r="B27" s="316" t="s">
        <v>84</v>
      </c>
      <c r="C27" s="317"/>
      <c r="D27" s="317"/>
      <c r="E27" s="317"/>
      <c r="F27" s="317"/>
      <c r="G27" s="317"/>
      <c r="H27" s="317"/>
      <c r="I27" s="317"/>
      <c r="J27" s="317"/>
      <c r="K27" s="317"/>
      <c r="L27" s="318"/>
      <c r="M27" s="302"/>
      <c r="N27" s="319"/>
      <c r="O27" s="304"/>
      <c r="P27" s="319"/>
      <c r="Q27" s="305">
        <v>100000</v>
      </c>
      <c r="R27" s="319"/>
      <c r="S27" s="306">
        <v>0</v>
      </c>
      <c r="T27" s="317"/>
      <c r="U27" s="336">
        <v>0</v>
      </c>
      <c r="V27" s="320"/>
      <c r="W27" s="310">
        <v>0</v>
      </c>
      <c r="X27" s="321"/>
      <c r="Y27" s="304">
        <v>850000</v>
      </c>
      <c r="Z27" s="278"/>
      <c r="AA27" s="305">
        <v>0</v>
      </c>
      <c r="AB27" s="278"/>
      <c r="AC27" s="313">
        <v>0</v>
      </c>
      <c r="AD27" s="278"/>
      <c r="AE27" s="314">
        <v>0</v>
      </c>
      <c r="AF27" s="278"/>
      <c r="AG27" s="315">
        <v>0</v>
      </c>
    </row>
    <row r="28" spans="1:33" ht="15.6" x14ac:dyDescent="0.3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302"/>
      <c r="N28" s="319"/>
      <c r="O28" s="304"/>
      <c r="P28" s="319"/>
      <c r="Q28" s="305"/>
      <c r="R28" s="319"/>
      <c r="S28" s="306"/>
      <c r="T28" s="317"/>
      <c r="U28" s="308"/>
      <c r="V28" s="320"/>
      <c r="W28" s="310"/>
      <c r="X28" s="321"/>
      <c r="Y28" s="304"/>
      <c r="Z28" s="278"/>
      <c r="AA28" s="305"/>
      <c r="AB28" s="278"/>
      <c r="AC28" s="313"/>
      <c r="AD28" s="278"/>
      <c r="AE28" s="314"/>
      <c r="AF28" s="278"/>
      <c r="AG28" s="315"/>
    </row>
    <row r="29" spans="1:33" ht="15.6" x14ac:dyDescent="0.3">
      <c r="A29" s="301" t="s">
        <v>74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302"/>
      <c r="N29" s="319"/>
      <c r="O29" s="304"/>
      <c r="P29" s="319"/>
      <c r="Q29" s="305"/>
      <c r="R29" s="319"/>
      <c r="S29" s="306"/>
      <c r="T29" s="317"/>
      <c r="U29" s="308"/>
      <c r="V29" s="320"/>
      <c r="W29" s="310"/>
      <c r="X29" s="321"/>
      <c r="Y29" s="304"/>
      <c r="Z29" s="278"/>
      <c r="AA29" s="305"/>
      <c r="AB29" s="278"/>
      <c r="AC29" s="313"/>
      <c r="AD29" s="278"/>
      <c r="AE29" s="314"/>
      <c r="AF29" s="278"/>
      <c r="AG29" s="315"/>
    </row>
    <row r="30" spans="1:33" ht="15.6" x14ac:dyDescent="0.3">
      <c r="A30" s="278"/>
      <c r="B30" s="316" t="s">
        <v>292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8"/>
      <c r="M30" s="302">
        <v>0</v>
      </c>
      <c r="N30" s="319"/>
      <c r="O30" s="304"/>
      <c r="P30" s="319"/>
      <c r="Q30" s="305">
        <v>500000</v>
      </c>
      <c r="R30" s="319"/>
      <c r="S30" s="306">
        <v>500000</v>
      </c>
      <c r="T30" s="317"/>
      <c r="U30" s="308">
        <v>500000</v>
      </c>
      <c r="V30" s="320"/>
      <c r="W30" s="310">
        <v>500000</v>
      </c>
      <c r="X30" s="321"/>
      <c r="Y30" s="304">
        <v>500000</v>
      </c>
      <c r="Z30" s="278"/>
      <c r="AA30" s="305">
        <v>500000</v>
      </c>
      <c r="AB30" s="278"/>
      <c r="AC30" s="313">
        <v>500000</v>
      </c>
      <c r="AD30" s="278"/>
      <c r="AE30" s="314">
        <v>500000</v>
      </c>
      <c r="AF30" s="278"/>
      <c r="AG30" s="315">
        <v>0</v>
      </c>
    </row>
    <row r="31" spans="1:33" ht="15.6" x14ac:dyDescent="0.3">
      <c r="A31" s="278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02"/>
      <c r="N31" s="319"/>
      <c r="O31" s="304"/>
      <c r="P31" s="319"/>
      <c r="Q31" s="305"/>
      <c r="R31" s="319"/>
      <c r="S31" s="306"/>
      <c r="T31" s="317"/>
      <c r="U31" s="308"/>
      <c r="V31" s="320"/>
      <c r="W31" s="310"/>
      <c r="X31" s="321"/>
      <c r="Y31" s="304"/>
      <c r="Z31" s="278"/>
      <c r="AA31" s="305"/>
      <c r="AB31" s="278"/>
      <c r="AC31" s="313"/>
      <c r="AD31" s="278"/>
      <c r="AE31" s="314"/>
      <c r="AF31" s="278"/>
      <c r="AG31" s="315"/>
    </row>
    <row r="32" spans="1:33" ht="15.6" x14ac:dyDescent="0.3">
      <c r="A32" s="301" t="s">
        <v>293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02"/>
      <c r="N32" s="319"/>
      <c r="O32" s="304"/>
      <c r="P32" s="319"/>
      <c r="Q32" s="305"/>
      <c r="R32" s="319"/>
      <c r="S32" s="306"/>
      <c r="T32" s="317"/>
      <c r="U32" s="308"/>
      <c r="V32" s="320"/>
      <c r="W32" s="310"/>
      <c r="X32" s="321"/>
      <c r="Y32" s="304"/>
      <c r="Z32" s="278"/>
      <c r="AA32" s="305"/>
      <c r="AB32" s="278"/>
      <c r="AC32" s="313"/>
      <c r="AD32" s="278"/>
      <c r="AE32" s="314"/>
      <c r="AF32" s="278"/>
      <c r="AG32" s="315"/>
    </row>
    <row r="33" spans="1:33" ht="15.6" x14ac:dyDescent="0.3">
      <c r="A33" s="278"/>
      <c r="B33" s="323" t="s">
        <v>294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02"/>
      <c r="N33" s="319"/>
      <c r="O33" s="304">
        <v>0</v>
      </c>
      <c r="P33" s="319"/>
      <c r="Q33" s="305"/>
      <c r="R33" s="319"/>
      <c r="S33" s="306"/>
      <c r="T33" s="317"/>
      <c r="U33" s="308"/>
      <c r="V33" s="320"/>
      <c r="W33" s="310"/>
      <c r="X33" s="321"/>
      <c r="Y33" s="304"/>
      <c r="Z33" s="278"/>
      <c r="AA33" s="305"/>
      <c r="AB33" s="278"/>
      <c r="AC33" s="313"/>
      <c r="AD33" s="278"/>
      <c r="AE33" s="314"/>
      <c r="AF33" s="278"/>
      <c r="AG33" s="315"/>
    </row>
    <row r="34" spans="1:33" ht="15.6" x14ac:dyDescent="0.3">
      <c r="A34" s="278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02"/>
      <c r="N34" s="319"/>
      <c r="O34" s="304"/>
      <c r="P34" s="319"/>
      <c r="Q34" s="305"/>
      <c r="R34" s="319"/>
      <c r="S34" s="306"/>
      <c r="T34" s="317"/>
      <c r="U34" s="308"/>
      <c r="V34" s="320"/>
      <c r="W34" s="310"/>
      <c r="X34" s="321"/>
      <c r="Y34" s="304"/>
      <c r="Z34" s="278"/>
      <c r="AA34" s="305"/>
      <c r="AB34" s="278"/>
      <c r="AC34" s="313"/>
      <c r="AD34" s="278"/>
      <c r="AE34" s="314"/>
      <c r="AF34" s="278"/>
      <c r="AG34" s="315"/>
    </row>
    <row r="35" spans="1:33" ht="15.6" x14ac:dyDescent="0.3">
      <c r="A35" s="278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02"/>
      <c r="N35" s="319"/>
      <c r="O35" s="304"/>
      <c r="P35" s="319"/>
      <c r="Q35" s="305"/>
      <c r="R35" s="319"/>
      <c r="S35" s="306"/>
      <c r="T35" s="317"/>
      <c r="U35" s="308"/>
      <c r="V35" s="320"/>
      <c r="W35" s="310"/>
      <c r="X35" s="321"/>
      <c r="Y35" s="304"/>
      <c r="Z35" s="278"/>
      <c r="AA35" s="305"/>
      <c r="AB35" s="278"/>
      <c r="AC35" s="313"/>
      <c r="AD35" s="278"/>
      <c r="AE35" s="314"/>
      <c r="AF35" s="278"/>
      <c r="AG35" s="315"/>
    </row>
    <row r="36" spans="1:33" ht="15.6" x14ac:dyDescent="0.3">
      <c r="A36" s="278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02"/>
      <c r="N36" s="319"/>
      <c r="O36" s="304"/>
      <c r="P36" s="319"/>
      <c r="Q36" s="305"/>
      <c r="R36" s="319"/>
      <c r="S36" s="306"/>
      <c r="T36" s="317"/>
      <c r="U36" s="308"/>
      <c r="V36" s="320"/>
      <c r="W36" s="310"/>
      <c r="X36" s="321"/>
      <c r="Y36" s="304"/>
      <c r="Z36" s="278"/>
      <c r="AA36" s="305"/>
      <c r="AB36" s="278"/>
      <c r="AC36" s="313"/>
      <c r="AD36" s="278"/>
      <c r="AE36" s="314"/>
      <c r="AF36" s="278"/>
      <c r="AG36" s="315"/>
    </row>
    <row r="37" spans="1:33" ht="15.6" x14ac:dyDescent="0.3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302"/>
      <c r="N37" s="319"/>
      <c r="O37" s="304"/>
      <c r="P37" s="319"/>
      <c r="Q37" s="305"/>
      <c r="R37" s="319"/>
      <c r="S37" s="306"/>
      <c r="T37" s="317"/>
      <c r="U37" s="308"/>
      <c r="V37" s="320"/>
      <c r="W37" s="310"/>
      <c r="X37" s="321"/>
      <c r="Y37" s="304"/>
      <c r="Z37" s="278"/>
      <c r="AA37" s="305"/>
      <c r="AB37" s="278"/>
      <c r="AC37" s="313"/>
      <c r="AD37" s="278"/>
      <c r="AE37" s="314"/>
      <c r="AF37" s="278"/>
      <c r="AG37" s="315"/>
    </row>
    <row r="38" spans="1:33" ht="18" x14ac:dyDescent="0.35">
      <c r="K38" s="155" t="s">
        <v>85</v>
      </c>
      <c r="M38" s="326">
        <f>SUM(M19:M37)</f>
        <v>1000000</v>
      </c>
      <c r="N38" s="337"/>
      <c r="O38" s="270">
        <f>SUM(O19:O37)</f>
        <v>716000</v>
      </c>
      <c r="P38" s="337"/>
      <c r="Q38" s="271">
        <f>SUM(Q19:Q37)</f>
        <v>2100000</v>
      </c>
      <c r="R38" s="337"/>
      <c r="S38" s="328">
        <f>SUM(S19:S37)</f>
        <v>3220000</v>
      </c>
      <c r="T38" s="338"/>
      <c r="U38" s="266">
        <f>SUM(U19:U37)</f>
        <v>2500000</v>
      </c>
      <c r="V38" s="339"/>
      <c r="W38" s="268">
        <f>SUM(W19:W37)</f>
        <v>3740000</v>
      </c>
      <c r="X38" s="340"/>
      <c r="Y38" s="270">
        <f>SUM(Y19:Y37)</f>
        <v>5050000</v>
      </c>
      <c r="Z38" s="4"/>
      <c r="AA38" s="271">
        <f>SUM(AA19:AA37)</f>
        <v>3000000</v>
      </c>
      <c r="AB38" s="4"/>
      <c r="AC38" s="272">
        <f>SUM(AC19:AC37)</f>
        <v>2750000</v>
      </c>
      <c r="AD38" s="4"/>
      <c r="AE38" s="273">
        <f>SUM(AE19:AE37)</f>
        <v>3750000</v>
      </c>
      <c r="AF38" s="4"/>
      <c r="AG38" s="274">
        <f>SUM(AG19:AG37)</f>
        <v>2250000</v>
      </c>
    </row>
    <row r="39" spans="1:33" x14ac:dyDescent="0.3">
      <c r="M39" s="79"/>
      <c r="N39" s="95"/>
      <c r="O39" s="80"/>
      <c r="P39" s="95"/>
      <c r="Q39" s="81"/>
      <c r="R39" s="95"/>
      <c r="S39" s="82"/>
      <c r="T39" s="41"/>
      <c r="U39" s="84"/>
      <c r="V39" s="96"/>
      <c r="W39" s="86"/>
      <c r="X39" s="97"/>
      <c r="Y39" s="80"/>
      <c r="AA39" s="81"/>
      <c r="AC39" s="87"/>
      <c r="AE39" s="89"/>
      <c r="AG39" s="90"/>
    </row>
    <row r="40" spans="1:33" x14ac:dyDescent="0.3">
      <c r="M40" s="79"/>
      <c r="N40" s="95"/>
      <c r="O40" s="80"/>
      <c r="P40" s="95"/>
      <c r="Q40" s="81"/>
      <c r="R40" s="95"/>
      <c r="S40" s="82"/>
      <c r="T40" s="41"/>
      <c r="U40" s="84"/>
      <c r="V40" s="96"/>
      <c r="W40" s="86"/>
      <c r="X40" s="97"/>
      <c r="Y40" s="80"/>
      <c r="AA40" s="81"/>
      <c r="AC40" s="87"/>
      <c r="AE40" s="89"/>
      <c r="AG40" s="90"/>
    </row>
    <row r="41" spans="1:33" ht="15.6" x14ac:dyDescent="0.3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302"/>
      <c r="N41" s="319"/>
      <c r="O41" s="304"/>
      <c r="P41" s="319"/>
      <c r="Q41" s="305"/>
      <c r="R41" s="319"/>
      <c r="S41" s="306"/>
      <c r="T41" s="317"/>
      <c r="U41" s="308"/>
      <c r="V41" s="320"/>
      <c r="W41" s="310"/>
      <c r="X41" s="321"/>
      <c r="Y41" s="304"/>
      <c r="Z41" s="278"/>
      <c r="AA41" s="305"/>
      <c r="AB41" s="278"/>
      <c r="AC41" s="313"/>
      <c r="AD41" s="278"/>
      <c r="AE41" s="314"/>
      <c r="AF41" s="278"/>
      <c r="AG41" s="315"/>
    </row>
    <row r="42" spans="1:33" x14ac:dyDescent="0.3">
      <c r="M42" s="79"/>
      <c r="N42" s="95"/>
      <c r="O42" s="80"/>
      <c r="P42" s="95"/>
      <c r="Q42" s="81"/>
      <c r="R42" s="95"/>
      <c r="S42" s="82"/>
      <c r="T42" s="41"/>
      <c r="U42" s="84"/>
      <c r="V42" s="96"/>
      <c r="W42" s="86"/>
      <c r="X42" s="97"/>
      <c r="Y42" s="80"/>
      <c r="AA42" s="81"/>
      <c r="AC42" s="87"/>
      <c r="AE42" s="89"/>
      <c r="AG42" s="90"/>
    </row>
    <row r="43" spans="1:33" x14ac:dyDescent="0.3">
      <c r="M43" s="79"/>
      <c r="N43" s="95"/>
      <c r="O43" s="80"/>
      <c r="P43" s="95"/>
      <c r="Q43" s="81"/>
      <c r="R43" s="95"/>
      <c r="S43" s="82"/>
      <c r="T43" s="41"/>
      <c r="U43" s="84"/>
      <c r="V43" s="96"/>
      <c r="W43" s="86"/>
      <c r="X43" s="97"/>
      <c r="Y43" s="80"/>
      <c r="AA43" s="81"/>
      <c r="AC43" s="87"/>
      <c r="AE43" s="89"/>
      <c r="AG43" s="90"/>
    </row>
    <row r="44" spans="1:33" x14ac:dyDescent="0.3">
      <c r="M44" s="79"/>
      <c r="N44" s="95"/>
      <c r="O44" s="80"/>
      <c r="P44" s="95"/>
      <c r="Q44" s="81"/>
      <c r="R44" s="95"/>
      <c r="S44" s="82"/>
      <c r="T44" s="41"/>
      <c r="U44" s="84"/>
      <c r="V44" s="105"/>
      <c r="W44" s="86"/>
      <c r="X44" s="95"/>
      <c r="Y44" s="80"/>
      <c r="Z44" s="41"/>
      <c r="AA44" s="81"/>
    </row>
    <row r="45" spans="1:33" x14ac:dyDescent="0.3">
      <c r="M45" s="79"/>
      <c r="N45" s="95"/>
      <c r="O45" s="80"/>
      <c r="P45" s="95"/>
      <c r="Q45" s="81"/>
      <c r="R45" s="95"/>
      <c r="S45" s="82"/>
      <c r="T45" s="41"/>
      <c r="U45" s="84"/>
      <c r="V45" s="105"/>
      <c r="W45" s="86"/>
      <c r="X45" s="95"/>
      <c r="Y45" s="80"/>
      <c r="Z45" s="41"/>
      <c r="AA45" s="81"/>
      <c r="AG45" s="415" t="s">
        <v>356</v>
      </c>
    </row>
    <row r="46" spans="1:33" x14ac:dyDescent="0.3">
      <c r="M46" s="106"/>
      <c r="N46" s="107"/>
      <c r="O46" s="108"/>
      <c r="P46" s="107"/>
      <c r="Q46" s="109"/>
      <c r="R46" s="107"/>
      <c r="S46" s="110"/>
      <c r="V46" s="105"/>
      <c r="W46" s="86"/>
      <c r="X46" s="95"/>
      <c r="Y46" s="80"/>
      <c r="Z46" s="41"/>
      <c r="AA46" s="81"/>
    </row>
    <row r="47" spans="1:33" x14ac:dyDescent="0.3">
      <c r="M47" s="112"/>
      <c r="N47" s="111"/>
      <c r="O47" s="113"/>
      <c r="P47" s="111"/>
      <c r="Q47" s="114"/>
      <c r="R47" s="111"/>
      <c r="S47" s="115"/>
      <c r="T47" s="116"/>
      <c r="U47" s="84"/>
      <c r="V47" s="105"/>
      <c r="W47" s="117"/>
      <c r="X47" s="118"/>
      <c r="Y47" s="113"/>
      <c r="Z47" s="116"/>
      <c r="AA47" s="114"/>
      <c r="AB47" s="116"/>
      <c r="AC47" s="119"/>
      <c r="AD47" s="116"/>
      <c r="AE47" s="120"/>
      <c r="AF47" s="116"/>
      <c r="AG47" s="121"/>
    </row>
    <row r="48" spans="1:33" x14ac:dyDescent="0.3">
      <c r="M48" s="106"/>
      <c r="N48" s="107"/>
      <c r="O48" s="108"/>
      <c r="P48" s="107"/>
      <c r="Q48" s="109"/>
      <c r="R48" s="107"/>
      <c r="S48" s="110"/>
      <c r="V48" s="96"/>
      <c r="W48" s="103"/>
      <c r="X48" s="97"/>
      <c r="Y48" s="100"/>
    </row>
    <row r="49" spans="13:33" x14ac:dyDescent="0.3">
      <c r="M49" s="106"/>
      <c r="N49" s="107"/>
      <c r="O49" s="108"/>
      <c r="P49" s="107"/>
      <c r="Q49" s="109"/>
      <c r="R49" s="107"/>
      <c r="S49" s="110"/>
      <c r="V49" s="96"/>
      <c r="W49" s="103"/>
      <c r="X49" s="97"/>
      <c r="Y49" s="100"/>
    </row>
    <row r="50" spans="13:33" x14ac:dyDescent="0.3">
      <c r="M50" s="106"/>
      <c r="N50" s="107"/>
      <c r="O50" s="108"/>
      <c r="P50" s="107"/>
      <c r="Q50" s="109"/>
      <c r="R50" s="107"/>
      <c r="S50" s="110"/>
      <c r="V50" s="96"/>
      <c r="W50" s="103"/>
      <c r="X50" s="97"/>
      <c r="Y50" s="100"/>
    </row>
    <row r="51" spans="13:33" x14ac:dyDescent="0.3">
      <c r="M51" s="122"/>
      <c r="N51" s="123"/>
      <c r="O51" s="124"/>
      <c r="P51" s="123"/>
      <c r="Q51" s="125"/>
      <c r="R51" s="123"/>
      <c r="S51" s="126"/>
      <c r="T51" s="123"/>
      <c r="U51" s="84"/>
      <c r="V51" s="105"/>
      <c r="W51" s="86"/>
      <c r="X51" s="95"/>
      <c r="Y51" s="80"/>
      <c r="Z51" s="41"/>
      <c r="AA51" s="81"/>
    </row>
    <row r="52" spans="13:33" x14ac:dyDescent="0.3">
      <c r="M52" s="79"/>
      <c r="N52" s="95"/>
      <c r="O52" s="80"/>
      <c r="P52" s="95"/>
      <c r="Q52" s="81"/>
      <c r="R52" s="95"/>
      <c r="S52" s="82"/>
      <c r="T52" s="41"/>
      <c r="U52" s="84"/>
      <c r="V52" s="105"/>
      <c r="W52" s="86"/>
      <c r="X52" s="95"/>
      <c r="Y52" s="80"/>
      <c r="Z52" s="41"/>
      <c r="AA52" s="81"/>
    </row>
    <row r="53" spans="13:33" x14ac:dyDescent="0.3">
      <c r="M53" s="79"/>
      <c r="N53" s="95"/>
      <c r="O53" s="80"/>
      <c r="P53" s="95"/>
      <c r="Q53" s="81"/>
      <c r="R53" s="95"/>
      <c r="S53" s="82"/>
      <c r="T53" s="41"/>
      <c r="U53" s="84"/>
      <c r="V53" s="105"/>
      <c r="W53" s="86"/>
      <c r="X53" s="95"/>
      <c r="Y53" s="80"/>
      <c r="Z53" s="41"/>
      <c r="AA53" s="81"/>
    </row>
    <row r="54" spans="13:33" x14ac:dyDescent="0.3">
      <c r="M54" s="79"/>
      <c r="N54" s="95"/>
      <c r="O54" s="80"/>
      <c r="P54" s="95"/>
      <c r="Q54" s="81"/>
      <c r="R54" s="95"/>
      <c r="S54" s="82"/>
      <c r="T54" s="41"/>
      <c r="U54" s="84"/>
      <c r="V54" s="105"/>
      <c r="W54" s="86"/>
      <c r="X54" s="95"/>
      <c r="Y54" s="80"/>
      <c r="Z54" s="41"/>
      <c r="AA54" s="81"/>
    </row>
    <row r="55" spans="13:33" x14ac:dyDescent="0.3">
      <c r="M55" s="79"/>
      <c r="N55" s="95"/>
      <c r="O55" s="80"/>
      <c r="P55" s="95"/>
      <c r="Q55" s="81"/>
      <c r="R55" s="95"/>
      <c r="S55" s="82"/>
      <c r="T55" s="41"/>
      <c r="U55" s="84"/>
      <c r="V55" s="105"/>
      <c r="W55" s="86"/>
      <c r="X55" s="95"/>
      <c r="Y55" s="80"/>
      <c r="Z55" s="41"/>
      <c r="AA55" s="81"/>
    </row>
    <row r="56" spans="13:33" x14ac:dyDescent="0.3">
      <c r="M56" s="99"/>
      <c r="N56" s="104"/>
      <c r="O56" s="100"/>
      <c r="P56" s="104"/>
      <c r="Q56" s="55"/>
      <c r="R56" s="104"/>
      <c r="S56" s="101"/>
      <c r="V56" s="105"/>
      <c r="W56" s="86"/>
      <c r="X56" s="95"/>
      <c r="Y56" s="80"/>
      <c r="Z56" s="41"/>
      <c r="AA56" s="81"/>
    </row>
    <row r="57" spans="13:33" x14ac:dyDescent="0.3">
      <c r="M57" s="112"/>
      <c r="N57" s="127"/>
      <c r="O57" s="113"/>
      <c r="P57" s="127"/>
      <c r="Q57" s="114"/>
      <c r="R57" s="127"/>
      <c r="S57" s="115"/>
      <c r="T57" s="116"/>
      <c r="U57" s="84"/>
      <c r="V57" s="105"/>
      <c r="W57" s="117"/>
      <c r="X57" s="118"/>
      <c r="Y57" s="113"/>
      <c r="Z57" s="116"/>
      <c r="AA57" s="114"/>
      <c r="AB57" s="116"/>
      <c r="AC57" s="119"/>
      <c r="AD57" s="116"/>
      <c r="AE57" s="120"/>
      <c r="AF57" s="116"/>
      <c r="AG57" s="121"/>
    </row>
    <row r="58" spans="13:33" x14ac:dyDescent="0.3">
      <c r="M58" s="106"/>
      <c r="N58" s="107"/>
      <c r="O58" s="108"/>
      <c r="P58" s="107"/>
      <c r="Q58" s="109"/>
      <c r="R58" s="107"/>
      <c r="S58" s="110"/>
      <c r="V58" s="96"/>
      <c r="W58" s="103"/>
      <c r="X58" s="97"/>
      <c r="Y58" s="100"/>
    </row>
    <row r="59" spans="13:33" x14ac:dyDescent="0.3">
      <c r="M59" s="106"/>
      <c r="N59" s="107"/>
      <c r="O59" s="108"/>
      <c r="P59" s="107"/>
      <c r="Q59" s="109"/>
      <c r="R59" s="107"/>
      <c r="S59" s="110"/>
      <c r="V59" s="96"/>
      <c r="W59" s="103"/>
      <c r="X59" s="97"/>
      <c r="Y59" s="100"/>
    </row>
    <row r="60" spans="13:33" x14ac:dyDescent="0.3">
      <c r="M60" s="122"/>
      <c r="N60" s="123"/>
      <c r="O60" s="124"/>
      <c r="P60" s="123"/>
      <c r="Q60" s="125"/>
      <c r="R60" s="123"/>
      <c r="S60" s="126"/>
      <c r="T60" s="41"/>
      <c r="U60" s="84"/>
      <c r="V60" s="105"/>
      <c r="W60" s="86"/>
      <c r="X60" s="95"/>
      <c r="Y60" s="80"/>
      <c r="Z60" s="41"/>
      <c r="AA60" s="81"/>
      <c r="AB60" s="41"/>
      <c r="AC60" s="87"/>
      <c r="AD60" s="41"/>
      <c r="AE60" s="89"/>
      <c r="AF60" s="41"/>
      <c r="AG60" s="90"/>
    </row>
    <row r="61" spans="13:33" x14ac:dyDescent="0.3">
      <c r="M61" s="106"/>
      <c r="N61" s="107"/>
      <c r="O61" s="108"/>
      <c r="P61" s="107"/>
      <c r="Q61" s="109"/>
      <c r="R61" s="107"/>
      <c r="S61" s="110"/>
      <c r="V61" s="96"/>
      <c r="W61" s="103"/>
      <c r="X61" s="97"/>
      <c r="Y61" s="100"/>
    </row>
    <row r="62" spans="13:33" x14ac:dyDescent="0.3">
      <c r="M62" s="106"/>
      <c r="N62" s="107"/>
      <c r="O62" s="108"/>
      <c r="P62" s="107"/>
      <c r="Q62" s="109"/>
      <c r="R62" s="107"/>
      <c r="S62" s="110"/>
      <c r="V62" s="96"/>
      <c r="W62" s="103"/>
      <c r="X62" s="97"/>
      <c r="Y62" s="100"/>
    </row>
    <row r="63" spans="13:33" x14ac:dyDescent="0.3">
      <c r="M63" s="106"/>
      <c r="N63" s="107"/>
      <c r="O63" s="108"/>
      <c r="P63" s="107"/>
      <c r="Q63" s="109"/>
      <c r="R63" s="107"/>
      <c r="S63" s="110"/>
      <c r="V63" s="96"/>
      <c r="W63" s="103"/>
      <c r="X63" s="97"/>
      <c r="Y63" s="100"/>
    </row>
    <row r="64" spans="13:33" x14ac:dyDescent="0.3">
      <c r="M64" s="122"/>
      <c r="N64" s="123"/>
      <c r="O64" s="124"/>
      <c r="P64" s="123"/>
      <c r="Q64" s="125"/>
      <c r="R64" s="123"/>
      <c r="S64" s="126"/>
      <c r="T64" s="41"/>
      <c r="U64" s="84"/>
      <c r="V64" s="105"/>
      <c r="W64" s="86"/>
      <c r="X64" s="95"/>
      <c r="Y64" s="80"/>
      <c r="Z64" s="41"/>
      <c r="AA64" s="81"/>
      <c r="AB64" s="41"/>
      <c r="AC64" s="87"/>
      <c r="AD64" s="41"/>
      <c r="AE64" s="89"/>
      <c r="AF64" s="41"/>
      <c r="AG64" s="90"/>
    </row>
    <row r="65" spans="13:25" x14ac:dyDescent="0.3">
      <c r="M65" s="106"/>
      <c r="N65" s="107"/>
      <c r="O65" s="108"/>
      <c r="P65" s="107"/>
      <c r="Q65" s="109"/>
      <c r="R65" s="107"/>
      <c r="S65" s="110"/>
      <c r="V65" s="96"/>
      <c r="W65" s="103"/>
      <c r="X65" s="97"/>
      <c r="Y65" s="100"/>
    </row>
    <row r="66" spans="13:25" x14ac:dyDescent="0.3">
      <c r="M66" s="106"/>
      <c r="N66" s="107"/>
      <c r="O66" s="108"/>
      <c r="P66" s="107"/>
      <c r="Q66" s="109"/>
      <c r="R66" s="107"/>
      <c r="S66" s="110"/>
      <c r="V66" s="96"/>
      <c r="W66" s="103"/>
      <c r="X66" s="97"/>
      <c r="Y66" s="100"/>
    </row>
    <row r="67" spans="13:25" x14ac:dyDescent="0.3">
      <c r="V67" s="96"/>
      <c r="W67" s="103"/>
      <c r="X67" s="97"/>
      <c r="Y67" s="100"/>
    </row>
    <row r="68" spans="13:25" x14ac:dyDescent="0.3">
      <c r="V68" s="96"/>
      <c r="W68" s="103"/>
      <c r="X68" s="97"/>
      <c r="Y68" s="100"/>
    </row>
    <row r="69" spans="13:25" x14ac:dyDescent="0.3">
      <c r="V69" s="96"/>
      <c r="W69" s="103"/>
      <c r="X69" s="97"/>
      <c r="Y69" s="100"/>
    </row>
    <row r="70" spans="13:25" x14ac:dyDescent="0.3">
      <c r="V70" s="96"/>
      <c r="W70" s="103"/>
      <c r="X70" s="97"/>
      <c r="Y70" s="100"/>
    </row>
    <row r="71" spans="13:25" x14ac:dyDescent="0.3">
      <c r="V71" s="96"/>
      <c r="W71" s="103"/>
      <c r="X71" s="97"/>
      <c r="Y71" s="100"/>
    </row>
    <row r="72" spans="13:25" x14ac:dyDescent="0.3">
      <c r="V72" s="96"/>
      <c r="W72" s="103"/>
      <c r="X72" s="97"/>
      <c r="Y72" s="100"/>
    </row>
    <row r="73" spans="13:25" x14ac:dyDescent="0.3">
      <c r="V73" s="96"/>
      <c r="W73" s="103"/>
      <c r="X73" s="97"/>
      <c r="Y73" s="100"/>
    </row>
    <row r="74" spans="13:25" x14ac:dyDescent="0.3">
      <c r="V74" s="96"/>
      <c r="W74" s="103"/>
      <c r="X74" s="97"/>
      <c r="Y74" s="100"/>
    </row>
    <row r="75" spans="13:25" x14ac:dyDescent="0.3">
      <c r="V75" s="96"/>
      <c r="W75" s="103"/>
      <c r="X75" s="97"/>
      <c r="Y75" s="100"/>
    </row>
    <row r="76" spans="13:25" x14ac:dyDescent="0.3">
      <c r="V76" s="96"/>
      <c r="W76" s="103"/>
      <c r="X76" s="97"/>
      <c r="Y76" s="100"/>
    </row>
    <row r="77" spans="13:25" x14ac:dyDescent="0.3">
      <c r="V77" s="96"/>
      <c r="W77" s="103"/>
      <c r="X77" s="97"/>
      <c r="Y77" s="100"/>
    </row>
    <row r="78" spans="13:25" x14ac:dyDescent="0.3">
      <c r="V78" s="96"/>
      <c r="W78" s="103"/>
      <c r="X78" s="97"/>
      <c r="Y78" s="100"/>
    </row>
    <row r="79" spans="13:25" x14ac:dyDescent="0.3">
      <c r="V79" s="96"/>
      <c r="W79" s="103"/>
      <c r="X79" s="97"/>
      <c r="Y79" s="100"/>
    </row>
    <row r="80" spans="13:25" x14ac:dyDescent="0.3">
      <c r="V80" s="96"/>
      <c r="W80" s="103"/>
      <c r="X80" s="97"/>
      <c r="Y80" s="100"/>
    </row>
    <row r="81" spans="13:33" x14ac:dyDescent="0.3">
      <c r="V81" s="96"/>
      <c r="W81" s="103"/>
      <c r="X81" s="97"/>
      <c r="Y81" s="100"/>
    </row>
    <row r="82" spans="13:33" x14ac:dyDescent="0.3">
      <c r="M82" s="128"/>
      <c r="N82" s="46"/>
      <c r="O82" s="129"/>
      <c r="P82" s="46"/>
      <c r="Q82" s="130"/>
      <c r="R82" s="46"/>
      <c r="S82" s="131"/>
      <c r="T82" s="46"/>
      <c r="U82" s="132"/>
      <c r="V82" s="46"/>
      <c r="W82" s="133"/>
      <c r="X82" s="46"/>
      <c r="Y82" s="129"/>
      <c r="Z82" s="46"/>
      <c r="AA82" s="134"/>
      <c r="AB82" s="46"/>
      <c r="AC82" s="135"/>
      <c r="AD82" s="46"/>
      <c r="AE82" s="136"/>
      <c r="AF82" s="46"/>
      <c r="AG82" s="137"/>
    </row>
  </sheetData>
  <mergeCells count="3">
    <mergeCell ref="A1:L2"/>
    <mergeCell ref="A3:L4"/>
    <mergeCell ref="A16:L17"/>
  </mergeCells>
  <pageMargins left="0.2" right="0.2" top="0.75" bottom="0.75" header="0.3" footer="0.3"/>
  <pageSetup paperSize="3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view="pageBreakPreview" zoomScale="85" zoomScaleNormal="100" zoomScaleSheetLayoutView="85" workbookViewId="0">
      <selection activeCell="A40" activeCellId="1" sqref="H13:H16 A40"/>
    </sheetView>
  </sheetViews>
  <sheetFormatPr defaultRowHeight="14.4" x14ac:dyDescent="0.3"/>
  <cols>
    <col min="1" max="1" width="43.6640625" customWidth="1"/>
    <col min="2" max="3" width="17.33203125" hidden="1" customWidth="1"/>
    <col min="4" max="4" width="18.33203125" hidden="1" customWidth="1"/>
    <col min="5" max="5" width="17.6640625" bestFit="1" customWidth="1"/>
    <col min="6" max="6" width="20.44140625" bestFit="1" customWidth="1"/>
    <col min="7" max="7" width="21.33203125" bestFit="1" customWidth="1"/>
    <col min="8" max="8" width="18" customWidth="1"/>
    <col min="9" max="9" width="18.5546875" customWidth="1"/>
    <col min="10" max="10" width="18.44140625" customWidth="1"/>
    <col min="11" max="11" width="18.109375" bestFit="1" customWidth="1"/>
    <col min="12" max="12" width="18.33203125" customWidth="1"/>
    <col min="13" max="18" width="19.5546875" customWidth="1"/>
  </cols>
  <sheetData>
    <row r="1" spans="1:18" ht="18" x14ac:dyDescent="0.35">
      <c r="A1" s="4" t="s">
        <v>268</v>
      </c>
    </row>
    <row r="2" spans="1:18" x14ac:dyDescent="0.3">
      <c r="B2" s="1" t="s">
        <v>62</v>
      </c>
      <c r="C2" s="244" t="s">
        <v>7</v>
      </c>
      <c r="D2" s="244" t="s">
        <v>8</v>
      </c>
      <c r="E2" s="1" t="s">
        <v>9</v>
      </c>
      <c r="F2" s="1" t="s">
        <v>10</v>
      </c>
      <c r="G2" s="1" t="s">
        <v>11</v>
      </c>
      <c r="H2" s="1" t="s">
        <v>14</v>
      </c>
      <c r="I2" s="1" t="s">
        <v>16</v>
      </c>
      <c r="J2" s="1" t="s">
        <v>17</v>
      </c>
      <c r="K2" s="1" t="s">
        <v>18</v>
      </c>
      <c r="L2" s="1" t="s">
        <v>19</v>
      </c>
      <c r="M2" s="152" t="s">
        <v>77</v>
      </c>
      <c r="N2" s="152" t="s">
        <v>78</v>
      </c>
      <c r="O2" s="152" t="s">
        <v>116</v>
      </c>
      <c r="P2" s="152" t="s">
        <v>117</v>
      </c>
      <c r="Q2" s="152" t="s">
        <v>118</v>
      </c>
      <c r="R2" s="152" t="s">
        <v>119</v>
      </c>
    </row>
    <row r="3" spans="1:18" x14ac:dyDescent="0.3">
      <c r="A3" t="s">
        <v>112</v>
      </c>
      <c r="B3" s="34">
        <v>0</v>
      </c>
      <c r="C3" s="245">
        <v>30772096</v>
      </c>
      <c r="D3" s="246">
        <f t="shared" ref="D3:R3" si="0">C18</f>
        <v>34512545.25</v>
      </c>
      <c r="E3" s="35">
        <v>35659372.629999995</v>
      </c>
      <c r="F3" s="35" t="e">
        <f t="shared" si="0"/>
        <v>#REF!</v>
      </c>
      <c r="G3" s="35" t="e">
        <f t="shared" si="0"/>
        <v>#REF!</v>
      </c>
      <c r="H3" s="35" t="e">
        <f t="shared" si="0"/>
        <v>#REF!</v>
      </c>
      <c r="I3" s="35" t="e">
        <f t="shared" si="0"/>
        <v>#REF!</v>
      </c>
      <c r="J3" s="36" t="e">
        <f t="shared" si="0"/>
        <v>#REF!</v>
      </c>
      <c r="K3" s="36" t="e">
        <f t="shared" si="0"/>
        <v>#REF!</v>
      </c>
      <c r="L3" s="36" t="e">
        <f t="shared" si="0"/>
        <v>#REF!</v>
      </c>
      <c r="M3" s="36" t="e">
        <f t="shared" si="0"/>
        <v>#REF!</v>
      </c>
      <c r="N3" s="36" t="e">
        <f t="shared" si="0"/>
        <v>#REF!</v>
      </c>
      <c r="O3" s="36" t="e">
        <f t="shared" si="0"/>
        <v>#REF!</v>
      </c>
      <c r="P3" s="36" t="e">
        <f t="shared" si="0"/>
        <v>#REF!</v>
      </c>
      <c r="Q3" s="36" t="e">
        <f t="shared" si="0"/>
        <v>#REF!</v>
      </c>
      <c r="R3" s="36" t="e">
        <f t="shared" si="0"/>
        <v>#REF!</v>
      </c>
    </row>
    <row r="4" spans="1:18" x14ac:dyDescent="0.3">
      <c r="A4" s="6" t="s">
        <v>63</v>
      </c>
      <c r="B4" s="34">
        <v>0</v>
      </c>
      <c r="C4" s="245">
        <v>3950403</v>
      </c>
      <c r="D4" s="246">
        <f>(C4*5%)+C4</f>
        <v>4147923.15</v>
      </c>
      <c r="E4" s="35">
        <v>4214397</v>
      </c>
      <c r="F4" s="35">
        <f t="shared" ref="F4:R4" si="1">(E4*3.5%)+E4</f>
        <v>4361900.8949999996</v>
      </c>
      <c r="G4" s="35">
        <f t="shared" si="1"/>
        <v>4514567.4263249999</v>
      </c>
      <c r="H4" s="35">
        <f t="shared" si="1"/>
        <v>4672577.2862463752</v>
      </c>
      <c r="I4" s="35">
        <f t="shared" si="1"/>
        <v>4836117.491264998</v>
      </c>
      <c r="J4" s="36">
        <f t="shared" si="1"/>
        <v>5005381.6034592725</v>
      </c>
      <c r="K4" s="36">
        <f t="shared" si="1"/>
        <v>5180569.9595803469</v>
      </c>
      <c r="L4" s="36">
        <f t="shared" si="1"/>
        <v>5361889.9081656588</v>
      </c>
      <c r="M4" s="36">
        <f t="shared" si="1"/>
        <v>5549556.0549514573</v>
      </c>
      <c r="N4" s="36">
        <f t="shared" si="1"/>
        <v>5743790.5168747585</v>
      </c>
      <c r="O4" s="36">
        <f t="shared" si="1"/>
        <v>5944823.1849653749</v>
      </c>
      <c r="P4" s="36">
        <f t="shared" si="1"/>
        <v>6152891.9964391626</v>
      </c>
      <c r="Q4" s="36">
        <f t="shared" si="1"/>
        <v>6368243.2163145337</v>
      </c>
      <c r="R4" s="36">
        <f t="shared" si="1"/>
        <v>6591131.7288855426</v>
      </c>
    </row>
    <row r="5" spans="1:18" x14ac:dyDescent="0.3">
      <c r="A5" s="6" t="s">
        <v>66</v>
      </c>
      <c r="B5" s="34">
        <v>0</v>
      </c>
      <c r="C5" s="245">
        <v>285090</v>
      </c>
      <c r="D5" s="246">
        <f>(C5*5%)+C5</f>
        <v>299344.5</v>
      </c>
      <c r="E5" s="35">
        <v>337443</v>
      </c>
      <c r="F5" s="35">
        <f t="shared" ref="F5:R5" si="2">(E5*2.5%)+E5</f>
        <v>345879.07500000001</v>
      </c>
      <c r="G5" s="35">
        <f t="shared" si="2"/>
        <v>354526.051875</v>
      </c>
      <c r="H5" s="35">
        <f t="shared" si="2"/>
        <v>363389.20317187498</v>
      </c>
      <c r="I5" s="35">
        <f t="shared" si="2"/>
        <v>372473.93325117184</v>
      </c>
      <c r="J5" s="35">
        <f t="shared" si="2"/>
        <v>381785.78158245113</v>
      </c>
      <c r="K5" s="35">
        <f t="shared" si="2"/>
        <v>391330.42612201243</v>
      </c>
      <c r="L5" s="35">
        <f t="shared" si="2"/>
        <v>401113.68677506276</v>
      </c>
      <c r="M5" s="36">
        <f t="shared" si="2"/>
        <v>411141.52894443931</v>
      </c>
      <c r="N5" s="36">
        <f t="shared" si="2"/>
        <v>421420.06716805027</v>
      </c>
      <c r="O5" s="36">
        <f t="shared" si="2"/>
        <v>431955.56884725153</v>
      </c>
      <c r="P5" s="36">
        <f t="shared" si="2"/>
        <v>442754.45806843281</v>
      </c>
      <c r="Q5" s="36">
        <f t="shared" si="2"/>
        <v>453823.31952014362</v>
      </c>
      <c r="R5" s="36">
        <f t="shared" si="2"/>
        <v>465168.90250814724</v>
      </c>
    </row>
    <row r="6" spans="1:18" x14ac:dyDescent="0.3">
      <c r="A6" t="s">
        <v>65</v>
      </c>
      <c r="B6" s="34">
        <v>0</v>
      </c>
      <c r="C6" s="245">
        <v>1000000</v>
      </c>
      <c r="D6" s="245">
        <v>258455</v>
      </c>
      <c r="E6" s="147" t="e">
        <f>#REF!</f>
        <v>#REF!</v>
      </c>
      <c r="F6" s="147">
        <v>1500000</v>
      </c>
      <c r="G6" s="147">
        <v>1500000</v>
      </c>
      <c r="H6" s="147">
        <v>1500000</v>
      </c>
      <c r="I6" s="147">
        <v>1500000</v>
      </c>
      <c r="J6" s="147">
        <v>1500000</v>
      </c>
      <c r="K6" s="147">
        <v>1500000</v>
      </c>
      <c r="L6" s="147">
        <v>1500000</v>
      </c>
      <c r="M6" s="147">
        <v>1500000</v>
      </c>
      <c r="N6" s="147">
        <v>1500000</v>
      </c>
      <c r="O6" s="147">
        <v>1500000</v>
      </c>
      <c r="P6" s="147">
        <v>1500000</v>
      </c>
      <c r="Q6" s="147">
        <v>1500000</v>
      </c>
      <c r="R6" s="147">
        <v>1359000</v>
      </c>
    </row>
    <row r="7" spans="1:18" x14ac:dyDescent="0.3">
      <c r="A7" t="s">
        <v>269</v>
      </c>
      <c r="B7" s="34">
        <v>0</v>
      </c>
      <c r="C7" s="245">
        <v>0</v>
      </c>
      <c r="D7" s="245">
        <v>1000000</v>
      </c>
      <c r="E7" s="143">
        <v>800000</v>
      </c>
      <c r="F7" s="143">
        <v>800000</v>
      </c>
      <c r="G7" s="143">
        <v>800000</v>
      </c>
      <c r="H7" s="143">
        <v>800000</v>
      </c>
      <c r="I7" s="143">
        <v>800000</v>
      </c>
      <c r="J7" s="143">
        <v>800000</v>
      </c>
      <c r="K7" s="143">
        <v>800000</v>
      </c>
      <c r="L7" s="143">
        <v>800000</v>
      </c>
      <c r="M7" s="143">
        <v>800000</v>
      </c>
      <c r="N7" s="143">
        <v>800000</v>
      </c>
      <c r="O7" s="143">
        <v>800000</v>
      </c>
      <c r="P7" s="143">
        <v>800000</v>
      </c>
      <c r="Q7" s="143">
        <v>800000</v>
      </c>
      <c r="R7" s="143">
        <v>800000</v>
      </c>
    </row>
    <row r="8" spans="1:18" x14ac:dyDescent="0.3">
      <c r="A8" t="s">
        <v>270</v>
      </c>
      <c r="B8" s="34">
        <v>0</v>
      </c>
      <c r="C8" s="245">
        <v>0</v>
      </c>
      <c r="D8" s="245">
        <v>0</v>
      </c>
      <c r="E8" s="34">
        <v>0</v>
      </c>
      <c r="F8" s="143">
        <v>1000000</v>
      </c>
      <c r="G8" s="34">
        <v>0</v>
      </c>
      <c r="H8" s="154">
        <v>1000000</v>
      </c>
      <c r="I8" s="170">
        <v>0</v>
      </c>
      <c r="J8" s="154">
        <v>1000000</v>
      </c>
      <c r="K8" s="36">
        <v>0</v>
      </c>
      <c r="L8" s="157">
        <v>1000000</v>
      </c>
      <c r="M8" s="36">
        <v>0</v>
      </c>
      <c r="N8" s="154">
        <v>1000000</v>
      </c>
      <c r="O8" s="10">
        <v>0</v>
      </c>
      <c r="P8" s="154">
        <v>1000000</v>
      </c>
      <c r="Q8" s="36">
        <v>0</v>
      </c>
      <c r="R8" s="157">
        <v>1000000</v>
      </c>
    </row>
    <row r="9" spans="1:18" x14ac:dyDescent="0.3">
      <c r="A9" t="s">
        <v>271</v>
      </c>
      <c r="B9" s="34"/>
      <c r="C9" s="245"/>
      <c r="D9" s="245"/>
      <c r="E9" s="34"/>
      <c r="F9" s="37"/>
      <c r="G9" s="34"/>
      <c r="H9" s="170">
        <v>0</v>
      </c>
      <c r="I9" s="170"/>
      <c r="J9" s="170"/>
      <c r="K9" s="36"/>
      <c r="L9" s="10"/>
      <c r="M9" s="36"/>
      <c r="N9" s="170"/>
      <c r="O9" s="10"/>
      <c r="P9" s="170"/>
      <c r="Q9" s="36"/>
      <c r="R9" s="10"/>
    </row>
    <row r="10" spans="1:18" x14ac:dyDescent="0.3">
      <c r="A10" t="s">
        <v>110</v>
      </c>
      <c r="B10" s="34">
        <v>0</v>
      </c>
      <c r="C10" s="245">
        <v>0</v>
      </c>
      <c r="D10" s="245">
        <v>393000</v>
      </c>
      <c r="E10" s="34">
        <v>435000</v>
      </c>
      <c r="F10" s="34">
        <v>0</v>
      </c>
      <c r="G10" s="34">
        <v>0</v>
      </c>
      <c r="H10" s="10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</row>
    <row r="11" spans="1:18" x14ac:dyDescent="0.3">
      <c r="A11" t="s">
        <v>111</v>
      </c>
      <c r="B11" s="34"/>
      <c r="C11" s="245">
        <v>0</v>
      </c>
      <c r="D11" s="245">
        <v>0</v>
      </c>
      <c r="E11" s="34">
        <v>0</v>
      </c>
      <c r="F11" s="34">
        <v>250000</v>
      </c>
      <c r="G11" s="34">
        <v>0</v>
      </c>
      <c r="H11" s="37"/>
      <c r="I11" s="34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</row>
    <row r="12" spans="1:18" x14ac:dyDescent="0.3">
      <c r="A12" t="s">
        <v>20</v>
      </c>
      <c r="B12" s="37">
        <v>0</v>
      </c>
      <c r="C12" s="245">
        <v>720000</v>
      </c>
      <c r="D12" s="245">
        <f>(C12*2.5%)+C12</f>
        <v>738000</v>
      </c>
      <c r="E12" s="148">
        <f t="shared" ref="E12:J12" si="3">(D12*2.5%)+D12</f>
        <v>756450</v>
      </c>
      <c r="F12" s="148">
        <f t="shared" si="3"/>
        <v>775361.25</v>
      </c>
      <c r="G12" s="148">
        <f t="shared" si="3"/>
        <v>794745.28125</v>
      </c>
      <c r="H12" s="148">
        <f t="shared" si="3"/>
        <v>814613.91328125005</v>
      </c>
      <c r="I12" s="148">
        <f t="shared" si="3"/>
        <v>834979.26111328125</v>
      </c>
      <c r="J12" s="148">
        <f t="shared" si="3"/>
        <v>855853.74264111323</v>
      </c>
      <c r="K12" s="37">
        <v>0</v>
      </c>
      <c r="L12" s="37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</row>
    <row r="13" spans="1:18" s="6" customFormat="1" x14ac:dyDescent="0.3">
      <c r="A13" s="44"/>
      <c r="B13" s="45"/>
      <c r="C13" s="245"/>
      <c r="D13" s="245"/>
      <c r="E13" s="45"/>
      <c r="F13" s="45"/>
      <c r="G13" s="45"/>
      <c r="H13" s="45"/>
      <c r="I13" s="45"/>
      <c r="J13" s="45"/>
      <c r="K13" s="45"/>
      <c r="L13" s="45"/>
      <c r="M13" s="153"/>
      <c r="N13" s="153"/>
      <c r="O13" s="153"/>
      <c r="P13" s="153"/>
      <c r="Q13" s="153"/>
      <c r="R13" s="153"/>
    </row>
    <row r="14" spans="1:18" x14ac:dyDescent="0.3">
      <c r="A14" t="s">
        <v>15</v>
      </c>
      <c r="B14" s="2">
        <v>0</v>
      </c>
      <c r="C14" s="247">
        <v>2215043.75</v>
      </c>
      <c r="D14" s="248">
        <v>2346450.5</v>
      </c>
      <c r="E14" s="8">
        <v>2342892.5</v>
      </c>
      <c r="F14" s="8">
        <v>2347916</v>
      </c>
      <c r="G14" s="8">
        <v>2350392.5</v>
      </c>
      <c r="H14" s="8">
        <v>2345424.5</v>
      </c>
      <c r="I14" s="5">
        <v>2237697</v>
      </c>
      <c r="J14" s="10">
        <v>2236803</v>
      </c>
      <c r="K14" s="10">
        <v>2243132</v>
      </c>
      <c r="L14" s="10">
        <v>2236717</v>
      </c>
      <c r="M14" s="36">
        <v>2242474</v>
      </c>
      <c r="N14" s="36">
        <v>2235321</v>
      </c>
      <c r="O14" s="36">
        <v>1730553</v>
      </c>
      <c r="P14" s="36">
        <v>1728336</v>
      </c>
      <c r="Q14" s="36">
        <v>1733621</v>
      </c>
      <c r="R14" s="36">
        <v>1477350</v>
      </c>
    </row>
    <row r="15" spans="1:18" x14ac:dyDescent="0.3">
      <c r="A15" t="s">
        <v>1</v>
      </c>
      <c r="B15" s="2">
        <v>0</v>
      </c>
      <c r="C15" s="247">
        <v>0</v>
      </c>
      <c r="D15" s="247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</row>
    <row r="16" spans="1:18" x14ac:dyDescent="0.3">
      <c r="A16" t="s">
        <v>272</v>
      </c>
      <c r="B16" s="2">
        <v>0</v>
      </c>
      <c r="C16" s="247"/>
      <c r="D16" s="247">
        <v>7433191.2999999998</v>
      </c>
      <c r="E16" s="2">
        <v>12404000</v>
      </c>
      <c r="F16" s="2">
        <v>17050300</v>
      </c>
      <c r="G16" s="2">
        <v>5938000</v>
      </c>
      <c r="H16" s="2">
        <v>11164000</v>
      </c>
      <c r="I16" s="2">
        <v>11126000</v>
      </c>
      <c r="J16" s="36">
        <v>6063000</v>
      </c>
      <c r="K16" s="36">
        <v>3100000</v>
      </c>
      <c r="L16" s="36">
        <v>720000</v>
      </c>
      <c r="M16" s="36">
        <v>2343000</v>
      </c>
      <c r="N16" s="36">
        <v>988000</v>
      </c>
      <c r="O16" s="36">
        <v>800000</v>
      </c>
      <c r="P16" s="36">
        <v>1700000</v>
      </c>
      <c r="Q16" s="36">
        <v>0</v>
      </c>
      <c r="R16" s="36">
        <v>0</v>
      </c>
    </row>
    <row r="17" spans="1:18" x14ac:dyDescent="0.3">
      <c r="A17" t="s">
        <v>273</v>
      </c>
      <c r="B17" s="2">
        <v>0</v>
      </c>
      <c r="C17" s="247"/>
      <c r="D17" s="247">
        <v>1980000</v>
      </c>
      <c r="E17" s="2">
        <v>716000</v>
      </c>
      <c r="F17" s="2">
        <v>2100000</v>
      </c>
      <c r="G17" s="2">
        <v>3220000</v>
      </c>
      <c r="H17" s="2">
        <v>2500000</v>
      </c>
      <c r="I17" s="2">
        <v>3740000</v>
      </c>
      <c r="J17" s="36">
        <v>5050000</v>
      </c>
      <c r="K17" s="36">
        <v>3000000</v>
      </c>
      <c r="L17" s="36">
        <v>2750000</v>
      </c>
      <c r="M17" s="36">
        <v>3750000</v>
      </c>
      <c r="N17" s="36">
        <v>2250000</v>
      </c>
      <c r="O17" s="36">
        <v>0</v>
      </c>
      <c r="P17" s="36">
        <v>0</v>
      </c>
      <c r="Q17" s="36">
        <v>0</v>
      </c>
      <c r="R17" s="36">
        <v>0</v>
      </c>
    </row>
    <row r="18" spans="1:18" ht="15" thickBot="1" x14ac:dyDescent="0.35">
      <c r="A18" t="s">
        <v>2</v>
      </c>
      <c r="B18" s="3" t="e">
        <f>B3+B4+B5+B6+B7+B12-#REF!-B14-B15-#REF!-#REF!-#REF!</f>
        <v>#REF!</v>
      </c>
      <c r="C18" s="249">
        <f t="shared" ref="C18:F18" si="4">C3+C4+C5+C6+C7+C8+C10+C11+C12-C14-C15-C16-C17</f>
        <v>34512545.25</v>
      </c>
      <c r="D18" s="249">
        <f t="shared" si="4"/>
        <v>29589626.099999998</v>
      </c>
      <c r="E18" s="3" t="e">
        <f t="shared" si="4"/>
        <v>#REF!</v>
      </c>
      <c r="F18" s="3" t="e">
        <f t="shared" si="4"/>
        <v>#REF!</v>
      </c>
      <c r="G18" s="3" t="e">
        <f>G3+G4+G5+G6+G7+G8+G9+G10+G11+G12-G14-G15-G16-G17</f>
        <v>#REF!</v>
      </c>
      <c r="H18" s="3" t="e">
        <f>H3+H4+H5+H6+H7+H8+H9+H10+H11+H12-H14-H15-H16-H17</f>
        <v>#REF!</v>
      </c>
      <c r="I18" s="3" t="e">
        <f t="shared" ref="I18:R18" si="5">I3+I4+I5+I6+I7+I8+I9+I10+I11+I12-I14-I15-I16-I17</f>
        <v>#REF!</v>
      </c>
      <c r="J18" s="3" t="e">
        <f t="shared" si="5"/>
        <v>#REF!</v>
      </c>
      <c r="K18" s="3" t="e">
        <f t="shared" si="5"/>
        <v>#REF!</v>
      </c>
      <c r="L18" s="3" t="e">
        <f t="shared" si="5"/>
        <v>#REF!</v>
      </c>
      <c r="M18" s="158" t="e">
        <f t="shared" si="5"/>
        <v>#REF!</v>
      </c>
      <c r="N18" s="158" t="e">
        <f t="shared" si="5"/>
        <v>#REF!</v>
      </c>
      <c r="O18" s="158" t="e">
        <f t="shared" si="5"/>
        <v>#REF!</v>
      </c>
      <c r="P18" s="158" t="e">
        <f t="shared" si="5"/>
        <v>#REF!</v>
      </c>
      <c r="Q18" s="158" t="e">
        <f t="shared" si="5"/>
        <v>#REF!</v>
      </c>
      <c r="R18" s="158" t="e">
        <f t="shared" si="5"/>
        <v>#REF!</v>
      </c>
    </row>
    <row r="19" spans="1:18" ht="15" thickTop="1" x14ac:dyDescent="0.3">
      <c r="B19" s="2"/>
      <c r="C19" s="2"/>
      <c r="D19" s="2"/>
      <c r="E19" s="2"/>
      <c r="F19" s="2"/>
      <c r="G19" s="2"/>
      <c r="H19" s="2"/>
    </row>
    <row r="20" spans="1:18" x14ac:dyDescent="0.3">
      <c r="B20" s="2"/>
      <c r="C20" s="2"/>
      <c r="D20" s="2" t="s">
        <v>64</v>
      </c>
      <c r="E20" s="2"/>
      <c r="F20" s="2"/>
      <c r="G20" s="2"/>
      <c r="H20" s="2"/>
    </row>
    <row r="21" spans="1:18" x14ac:dyDescent="0.3">
      <c r="B21" s="2"/>
      <c r="C21" s="2"/>
      <c r="D21" s="2"/>
      <c r="E21" s="2"/>
      <c r="F21" s="2"/>
      <c r="H21" s="2"/>
    </row>
    <row r="22" spans="1:18" x14ac:dyDescent="0.3">
      <c r="A22" t="s">
        <v>3</v>
      </c>
      <c r="B22" s="2"/>
      <c r="C22" s="2"/>
      <c r="D22" s="2"/>
      <c r="E22" s="2"/>
      <c r="F22" s="2"/>
      <c r="G22" s="2"/>
      <c r="H22" s="2"/>
    </row>
    <row r="23" spans="1:18" x14ac:dyDescent="0.3">
      <c r="A23" t="s">
        <v>4</v>
      </c>
      <c r="B23" s="2">
        <v>6000000</v>
      </c>
      <c r="C23" s="2">
        <v>6000000</v>
      </c>
      <c r="D23" s="2">
        <v>6000000</v>
      </c>
      <c r="E23" s="2">
        <v>6000000</v>
      </c>
      <c r="F23" s="2">
        <v>6000000</v>
      </c>
      <c r="G23" s="2">
        <v>6000000</v>
      </c>
      <c r="H23" s="2">
        <v>6000000</v>
      </c>
      <c r="I23" s="2">
        <v>6000000</v>
      </c>
      <c r="J23" s="2">
        <v>6000000</v>
      </c>
      <c r="K23" s="2">
        <v>6000000</v>
      </c>
      <c r="L23" s="2">
        <v>6000000</v>
      </c>
      <c r="M23" s="2">
        <v>6000000</v>
      </c>
      <c r="N23" s="2">
        <v>6000000</v>
      </c>
      <c r="O23" s="2">
        <v>6000000</v>
      </c>
      <c r="P23" s="2">
        <v>6000000</v>
      </c>
      <c r="Q23" s="2">
        <v>6000000</v>
      </c>
      <c r="R23" s="2">
        <v>6000000</v>
      </c>
    </row>
    <row r="24" spans="1:18" x14ac:dyDescent="0.3">
      <c r="A24" t="s">
        <v>129</v>
      </c>
      <c r="B24" s="2"/>
      <c r="C24" s="2">
        <v>1000000</v>
      </c>
      <c r="D24" s="2">
        <v>1000000</v>
      </c>
      <c r="E24" s="2">
        <v>1000000</v>
      </c>
      <c r="F24" s="2">
        <v>1000000</v>
      </c>
      <c r="G24" s="2">
        <v>1000000</v>
      </c>
      <c r="H24" s="2">
        <v>1000000</v>
      </c>
      <c r="I24" s="2">
        <v>1000000</v>
      </c>
      <c r="J24" s="2">
        <v>1000000</v>
      </c>
      <c r="K24" s="2">
        <v>1000000</v>
      </c>
      <c r="L24" s="2">
        <v>1000000</v>
      </c>
      <c r="M24" s="2">
        <v>1000000</v>
      </c>
      <c r="N24" s="2">
        <v>1000000</v>
      </c>
      <c r="O24" s="2">
        <v>1000000</v>
      </c>
      <c r="P24" s="2">
        <v>1000000</v>
      </c>
      <c r="Q24" s="2">
        <v>1000000</v>
      </c>
      <c r="R24" s="2">
        <v>1000000</v>
      </c>
    </row>
    <row r="25" spans="1:18" x14ac:dyDescent="0.3">
      <c r="A25" t="s">
        <v>130</v>
      </c>
      <c r="B25" s="2"/>
      <c r="C25" s="169">
        <f>SUM(C23:C24)</f>
        <v>7000000</v>
      </c>
      <c r="D25" s="169">
        <f t="shared" ref="D25:R25" si="6">SUM(D23:D24)</f>
        <v>7000000</v>
      </c>
      <c r="E25" s="169">
        <f t="shared" si="6"/>
        <v>7000000</v>
      </c>
      <c r="F25" s="169">
        <f t="shared" si="6"/>
        <v>7000000</v>
      </c>
      <c r="G25" s="169">
        <f t="shared" si="6"/>
        <v>7000000</v>
      </c>
      <c r="H25" s="169">
        <f t="shared" si="6"/>
        <v>7000000</v>
      </c>
      <c r="I25" s="169">
        <f t="shared" si="6"/>
        <v>7000000</v>
      </c>
      <c r="J25" s="169">
        <f t="shared" si="6"/>
        <v>7000000</v>
      </c>
      <c r="K25" s="169">
        <f t="shared" si="6"/>
        <v>7000000</v>
      </c>
      <c r="L25" s="169">
        <f t="shared" si="6"/>
        <v>7000000</v>
      </c>
      <c r="M25" s="169">
        <f t="shared" si="6"/>
        <v>7000000</v>
      </c>
      <c r="N25" s="169">
        <f t="shared" si="6"/>
        <v>7000000</v>
      </c>
      <c r="O25" s="169">
        <f t="shared" si="6"/>
        <v>7000000</v>
      </c>
      <c r="P25" s="169">
        <f t="shared" si="6"/>
        <v>7000000</v>
      </c>
      <c r="Q25" s="169">
        <f t="shared" si="6"/>
        <v>7000000</v>
      </c>
      <c r="R25" s="169">
        <f t="shared" si="6"/>
        <v>7000000</v>
      </c>
    </row>
    <row r="26" spans="1:18" x14ac:dyDescent="0.3">
      <c r="A26" s="150" t="s">
        <v>131</v>
      </c>
      <c r="B26" s="2"/>
      <c r="C26" s="2"/>
      <c r="D26" s="2"/>
      <c r="E26" s="2"/>
      <c r="F26" s="2"/>
      <c r="G26" s="2"/>
      <c r="H26" s="2"/>
    </row>
    <row r="28" spans="1:18" s="6" customFormat="1" x14ac:dyDescent="0.3">
      <c r="A28" s="156" t="s">
        <v>122</v>
      </c>
      <c r="B28" s="42">
        <v>6594997110</v>
      </c>
      <c r="C28" s="42">
        <v>6594997110</v>
      </c>
      <c r="D28" s="42">
        <f>(C28*5%)+C28</f>
        <v>6924746965.5</v>
      </c>
      <c r="E28" s="42">
        <f>(D28*5%)+D28</f>
        <v>7270984313.7749996</v>
      </c>
      <c r="F28" s="43">
        <f>(E28*2.5%)+E28</f>
        <v>7452758921.6193743</v>
      </c>
      <c r="G28" s="43">
        <f t="shared" ref="G28:R28" si="7">(F28*2.5%)+F28</f>
        <v>7639077894.6598587</v>
      </c>
      <c r="H28" s="43">
        <f t="shared" si="7"/>
        <v>7830054842.0263548</v>
      </c>
      <c r="I28" s="43">
        <f t="shared" si="7"/>
        <v>8025806213.077014</v>
      </c>
      <c r="J28" s="43">
        <f t="shared" si="7"/>
        <v>8226451368.4039392</v>
      </c>
      <c r="K28" s="43">
        <f t="shared" si="7"/>
        <v>8432112652.6140375</v>
      </c>
      <c r="L28" s="43">
        <f t="shared" si="7"/>
        <v>8642915468.929388</v>
      </c>
      <c r="M28" s="43">
        <f t="shared" si="7"/>
        <v>8858988355.6526222</v>
      </c>
      <c r="N28" s="43">
        <f t="shared" si="7"/>
        <v>9080463064.5439377</v>
      </c>
      <c r="O28" s="43">
        <f t="shared" si="7"/>
        <v>9307474641.1575356</v>
      </c>
      <c r="P28" s="43">
        <f t="shared" si="7"/>
        <v>9540161507.1864738</v>
      </c>
      <c r="Q28" s="43">
        <f t="shared" si="7"/>
        <v>9778665544.8661366</v>
      </c>
      <c r="R28" s="43">
        <f t="shared" si="7"/>
        <v>10023132183.487789</v>
      </c>
    </row>
    <row r="29" spans="1:18" x14ac:dyDescent="0.3">
      <c r="A29" s="7" t="s">
        <v>274</v>
      </c>
      <c r="B29" s="7"/>
      <c r="C29" s="7"/>
      <c r="D29" s="7"/>
      <c r="E29" s="7"/>
      <c r="F29" s="7"/>
      <c r="G29" s="7"/>
    </row>
    <row r="30" spans="1:18" x14ac:dyDescent="0.3">
      <c r="A30" s="149" t="s">
        <v>114</v>
      </c>
      <c r="C30" s="149"/>
    </row>
    <row r="31" spans="1:18" x14ac:dyDescent="0.3">
      <c r="A31" s="145" t="s">
        <v>113</v>
      </c>
      <c r="B31" s="144"/>
      <c r="C31" s="143"/>
      <c r="D31" s="143"/>
      <c r="E31" s="34"/>
      <c r="F31" s="34"/>
      <c r="G31" s="34"/>
      <c r="H31" s="34"/>
      <c r="I31" s="34"/>
      <c r="J31" s="36"/>
      <c r="K31" s="36"/>
      <c r="L31" s="36"/>
    </row>
    <row r="32" spans="1:18" x14ac:dyDescent="0.3">
      <c r="A32" s="146" t="s">
        <v>123</v>
      </c>
      <c r="B32" s="146"/>
      <c r="C32" s="146"/>
      <c r="D32" s="146"/>
    </row>
    <row r="33" spans="1:2" x14ac:dyDescent="0.3">
      <c r="A33" s="151" t="s">
        <v>115</v>
      </c>
    </row>
    <row r="35" spans="1:2" x14ac:dyDescent="0.3">
      <c r="A35" t="s">
        <v>5</v>
      </c>
    </row>
    <row r="36" spans="1:2" x14ac:dyDescent="0.3">
      <c r="A36" t="s">
        <v>67</v>
      </c>
      <c r="B36" t="s">
        <v>68</v>
      </c>
    </row>
    <row r="38" spans="1:2" x14ac:dyDescent="0.3">
      <c r="A38" t="s">
        <v>1</v>
      </c>
      <c r="B38" t="s">
        <v>12</v>
      </c>
    </row>
    <row r="39" spans="1:2" x14ac:dyDescent="0.3">
      <c r="B39" t="s">
        <v>13</v>
      </c>
    </row>
    <row r="41" spans="1:2" x14ac:dyDescent="0.3">
      <c r="A41" t="s">
        <v>6</v>
      </c>
      <c r="B41" t="s">
        <v>69</v>
      </c>
    </row>
    <row r="43" spans="1:2" x14ac:dyDescent="0.3">
      <c r="A43" t="s">
        <v>71</v>
      </c>
      <c r="B43" t="s">
        <v>70</v>
      </c>
    </row>
  </sheetData>
  <conditionalFormatting sqref="N18:R18">
    <cfRule type="cellIs" dxfId="2" priority="2" operator="lessThan">
      <formula>6000000</formula>
    </cfRule>
  </conditionalFormatting>
  <conditionalFormatting sqref="C18:R18">
    <cfRule type="cellIs" dxfId="1" priority="1" operator="lessThan">
      <formula>7000000</formula>
    </cfRule>
  </conditionalFormatting>
  <conditionalFormatting sqref="C18:M18">
    <cfRule type="cellIs" dxfId="0" priority="3" operator="lessThan">
      <formula>6000000</formula>
    </cfRule>
  </conditionalFormatting>
  <pageMargins left="0.2" right="0.2" top="0.75" bottom="0.25" header="0.3" footer="0.3"/>
  <pageSetup paperSize="3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topLeftCell="A33" workbookViewId="0">
      <selection activeCell="A45" sqref="A45"/>
    </sheetView>
  </sheetViews>
  <sheetFormatPr defaultRowHeight="14.4" x14ac:dyDescent="0.3"/>
  <cols>
    <col min="1" max="1" width="45" bestFit="1" customWidth="1"/>
    <col min="2" max="3" width="13.88671875" customWidth="1"/>
    <col min="257" max="257" width="45" bestFit="1" customWidth="1"/>
    <col min="258" max="258" width="13.33203125" bestFit="1" customWidth="1"/>
    <col min="513" max="513" width="45" bestFit="1" customWidth="1"/>
    <col min="514" max="514" width="13.33203125" bestFit="1" customWidth="1"/>
    <col min="769" max="769" width="45" bestFit="1" customWidth="1"/>
    <col min="770" max="770" width="13.33203125" bestFit="1" customWidth="1"/>
    <col min="1025" max="1025" width="45" bestFit="1" customWidth="1"/>
    <col min="1026" max="1026" width="13.33203125" bestFit="1" customWidth="1"/>
    <col min="1281" max="1281" width="45" bestFit="1" customWidth="1"/>
    <col min="1282" max="1282" width="13.33203125" bestFit="1" customWidth="1"/>
    <col min="1537" max="1537" width="45" bestFit="1" customWidth="1"/>
    <col min="1538" max="1538" width="13.33203125" bestFit="1" customWidth="1"/>
    <col min="1793" max="1793" width="45" bestFit="1" customWidth="1"/>
    <col min="1794" max="1794" width="13.33203125" bestFit="1" customWidth="1"/>
    <col min="2049" max="2049" width="45" bestFit="1" customWidth="1"/>
    <col min="2050" max="2050" width="13.33203125" bestFit="1" customWidth="1"/>
    <col min="2305" max="2305" width="45" bestFit="1" customWidth="1"/>
    <col min="2306" max="2306" width="13.33203125" bestFit="1" customWidth="1"/>
    <col min="2561" max="2561" width="45" bestFit="1" customWidth="1"/>
    <col min="2562" max="2562" width="13.33203125" bestFit="1" customWidth="1"/>
    <col min="2817" max="2817" width="45" bestFit="1" customWidth="1"/>
    <col min="2818" max="2818" width="13.33203125" bestFit="1" customWidth="1"/>
    <col min="3073" max="3073" width="45" bestFit="1" customWidth="1"/>
    <col min="3074" max="3074" width="13.33203125" bestFit="1" customWidth="1"/>
    <col min="3329" max="3329" width="45" bestFit="1" customWidth="1"/>
    <col min="3330" max="3330" width="13.33203125" bestFit="1" customWidth="1"/>
    <col min="3585" max="3585" width="45" bestFit="1" customWidth="1"/>
    <col min="3586" max="3586" width="13.33203125" bestFit="1" customWidth="1"/>
    <col min="3841" max="3841" width="45" bestFit="1" customWidth="1"/>
    <col min="3842" max="3842" width="13.33203125" bestFit="1" customWidth="1"/>
    <col min="4097" max="4097" width="45" bestFit="1" customWidth="1"/>
    <col min="4098" max="4098" width="13.33203125" bestFit="1" customWidth="1"/>
    <col min="4353" max="4353" width="45" bestFit="1" customWidth="1"/>
    <col min="4354" max="4354" width="13.33203125" bestFit="1" customWidth="1"/>
    <col min="4609" max="4609" width="45" bestFit="1" customWidth="1"/>
    <col min="4610" max="4610" width="13.33203125" bestFit="1" customWidth="1"/>
    <col min="4865" max="4865" width="45" bestFit="1" customWidth="1"/>
    <col min="4866" max="4866" width="13.33203125" bestFit="1" customWidth="1"/>
    <col min="5121" max="5121" width="45" bestFit="1" customWidth="1"/>
    <col min="5122" max="5122" width="13.33203125" bestFit="1" customWidth="1"/>
    <col min="5377" max="5377" width="45" bestFit="1" customWidth="1"/>
    <col min="5378" max="5378" width="13.33203125" bestFit="1" customWidth="1"/>
    <col min="5633" max="5633" width="45" bestFit="1" customWidth="1"/>
    <col min="5634" max="5634" width="13.33203125" bestFit="1" customWidth="1"/>
    <col min="5889" max="5889" width="45" bestFit="1" customWidth="1"/>
    <col min="5890" max="5890" width="13.33203125" bestFit="1" customWidth="1"/>
    <col min="6145" max="6145" width="45" bestFit="1" customWidth="1"/>
    <col min="6146" max="6146" width="13.33203125" bestFit="1" customWidth="1"/>
    <col min="6401" max="6401" width="45" bestFit="1" customWidth="1"/>
    <col min="6402" max="6402" width="13.33203125" bestFit="1" customWidth="1"/>
    <col min="6657" max="6657" width="45" bestFit="1" customWidth="1"/>
    <col min="6658" max="6658" width="13.33203125" bestFit="1" customWidth="1"/>
    <col min="6913" max="6913" width="45" bestFit="1" customWidth="1"/>
    <col min="6914" max="6914" width="13.33203125" bestFit="1" customWidth="1"/>
    <col min="7169" max="7169" width="45" bestFit="1" customWidth="1"/>
    <col min="7170" max="7170" width="13.33203125" bestFit="1" customWidth="1"/>
    <col min="7425" max="7425" width="45" bestFit="1" customWidth="1"/>
    <col min="7426" max="7426" width="13.33203125" bestFit="1" customWidth="1"/>
    <col min="7681" max="7681" width="45" bestFit="1" customWidth="1"/>
    <col min="7682" max="7682" width="13.33203125" bestFit="1" customWidth="1"/>
    <col min="7937" max="7937" width="45" bestFit="1" customWidth="1"/>
    <col min="7938" max="7938" width="13.33203125" bestFit="1" customWidth="1"/>
    <col min="8193" max="8193" width="45" bestFit="1" customWidth="1"/>
    <col min="8194" max="8194" width="13.33203125" bestFit="1" customWidth="1"/>
    <col min="8449" max="8449" width="45" bestFit="1" customWidth="1"/>
    <col min="8450" max="8450" width="13.33203125" bestFit="1" customWidth="1"/>
    <col min="8705" max="8705" width="45" bestFit="1" customWidth="1"/>
    <col min="8706" max="8706" width="13.33203125" bestFit="1" customWidth="1"/>
    <col min="8961" max="8961" width="45" bestFit="1" customWidth="1"/>
    <col min="8962" max="8962" width="13.33203125" bestFit="1" customWidth="1"/>
    <col min="9217" max="9217" width="45" bestFit="1" customWidth="1"/>
    <col min="9218" max="9218" width="13.33203125" bestFit="1" customWidth="1"/>
    <col min="9473" max="9473" width="45" bestFit="1" customWidth="1"/>
    <col min="9474" max="9474" width="13.33203125" bestFit="1" customWidth="1"/>
    <col min="9729" max="9729" width="45" bestFit="1" customWidth="1"/>
    <col min="9730" max="9730" width="13.33203125" bestFit="1" customWidth="1"/>
    <col min="9985" max="9985" width="45" bestFit="1" customWidth="1"/>
    <col min="9986" max="9986" width="13.33203125" bestFit="1" customWidth="1"/>
    <col min="10241" max="10241" width="45" bestFit="1" customWidth="1"/>
    <col min="10242" max="10242" width="13.33203125" bestFit="1" customWidth="1"/>
    <col min="10497" max="10497" width="45" bestFit="1" customWidth="1"/>
    <col min="10498" max="10498" width="13.33203125" bestFit="1" customWidth="1"/>
    <col min="10753" max="10753" width="45" bestFit="1" customWidth="1"/>
    <col min="10754" max="10754" width="13.33203125" bestFit="1" customWidth="1"/>
    <col min="11009" max="11009" width="45" bestFit="1" customWidth="1"/>
    <col min="11010" max="11010" width="13.33203125" bestFit="1" customWidth="1"/>
    <col min="11265" max="11265" width="45" bestFit="1" customWidth="1"/>
    <col min="11266" max="11266" width="13.33203125" bestFit="1" customWidth="1"/>
    <col min="11521" max="11521" width="45" bestFit="1" customWidth="1"/>
    <col min="11522" max="11522" width="13.33203125" bestFit="1" customWidth="1"/>
    <col min="11777" max="11777" width="45" bestFit="1" customWidth="1"/>
    <col min="11778" max="11778" width="13.33203125" bestFit="1" customWidth="1"/>
    <col min="12033" max="12033" width="45" bestFit="1" customWidth="1"/>
    <col min="12034" max="12034" width="13.33203125" bestFit="1" customWidth="1"/>
    <col min="12289" max="12289" width="45" bestFit="1" customWidth="1"/>
    <col min="12290" max="12290" width="13.33203125" bestFit="1" customWidth="1"/>
    <col min="12545" max="12545" width="45" bestFit="1" customWidth="1"/>
    <col min="12546" max="12546" width="13.33203125" bestFit="1" customWidth="1"/>
    <col min="12801" max="12801" width="45" bestFit="1" customWidth="1"/>
    <col min="12802" max="12802" width="13.33203125" bestFit="1" customWidth="1"/>
    <col min="13057" max="13057" width="45" bestFit="1" customWidth="1"/>
    <col min="13058" max="13058" width="13.33203125" bestFit="1" customWidth="1"/>
    <col min="13313" max="13313" width="45" bestFit="1" customWidth="1"/>
    <col min="13314" max="13314" width="13.33203125" bestFit="1" customWidth="1"/>
    <col min="13569" max="13569" width="45" bestFit="1" customWidth="1"/>
    <col min="13570" max="13570" width="13.33203125" bestFit="1" customWidth="1"/>
    <col min="13825" max="13825" width="45" bestFit="1" customWidth="1"/>
    <col min="13826" max="13826" width="13.33203125" bestFit="1" customWidth="1"/>
    <col min="14081" max="14081" width="45" bestFit="1" customWidth="1"/>
    <col min="14082" max="14082" width="13.33203125" bestFit="1" customWidth="1"/>
    <col min="14337" max="14337" width="45" bestFit="1" customWidth="1"/>
    <col min="14338" max="14338" width="13.33203125" bestFit="1" customWidth="1"/>
    <col min="14593" max="14593" width="45" bestFit="1" customWidth="1"/>
    <col min="14594" max="14594" width="13.33203125" bestFit="1" customWidth="1"/>
    <col min="14849" max="14849" width="45" bestFit="1" customWidth="1"/>
    <col min="14850" max="14850" width="13.33203125" bestFit="1" customWidth="1"/>
    <col min="15105" max="15105" width="45" bestFit="1" customWidth="1"/>
    <col min="15106" max="15106" width="13.33203125" bestFit="1" customWidth="1"/>
    <col min="15361" max="15361" width="45" bestFit="1" customWidth="1"/>
    <col min="15362" max="15362" width="13.33203125" bestFit="1" customWidth="1"/>
    <col min="15617" max="15617" width="45" bestFit="1" customWidth="1"/>
    <col min="15618" max="15618" width="13.33203125" bestFit="1" customWidth="1"/>
    <col min="15873" max="15873" width="45" bestFit="1" customWidth="1"/>
    <col min="15874" max="15874" width="13.33203125" bestFit="1" customWidth="1"/>
    <col min="16129" max="16129" width="45" bestFit="1" customWidth="1"/>
    <col min="16130" max="16130" width="13.33203125" bestFit="1" customWidth="1"/>
  </cols>
  <sheetData>
    <row r="1" spans="1:3" ht="18" x14ac:dyDescent="0.35">
      <c r="A1" s="453" t="s">
        <v>384</v>
      </c>
      <c r="B1" s="453"/>
      <c r="C1" s="453"/>
    </row>
    <row r="2" spans="1:3" ht="18" x14ac:dyDescent="0.35">
      <c r="A2" s="453" t="s">
        <v>385</v>
      </c>
      <c r="B2" s="453"/>
      <c r="C2" s="453"/>
    </row>
    <row r="6" spans="1:3" x14ac:dyDescent="0.3">
      <c r="A6" s="417"/>
      <c r="B6" s="418" t="s">
        <v>306</v>
      </c>
    </row>
    <row r="7" spans="1:3" x14ac:dyDescent="0.3">
      <c r="A7" s="427"/>
      <c r="B7" s="428" t="s">
        <v>308</v>
      </c>
    </row>
    <row r="8" spans="1:3" x14ac:dyDescent="0.3">
      <c r="A8" s="176" t="s">
        <v>209</v>
      </c>
      <c r="B8" s="420"/>
    </row>
    <row r="9" spans="1:3" x14ac:dyDescent="0.3">
      <c r="A9" s="417" t="s">
        <v>311</v>
      </c>
      <c r="B9" s="419">
        <v>13230500</v>
      </c>
      <c r="C9" s="429">
        <f>B9/B20</f>
        <v>0.63747986509450705</v>
      </c>
    </row>
    <row r="10" spans="1:3" x14ac:dyDescent="0.3">
      <c r="A10" s="417" t="s">
        <v>359</v>
      </c>
      <c r="B10" s="419">
        <v>2900600</v>
      </c>
      <c r="C10" s="429">
        <f>B10/B20</f>
        <v>0.13975844425328801</v>
      </c>
    </row>
    <row r="11" spans="1:3" x14ac:dyDescent="0.3">
      <c r="A11" s="417" t="s">
        <v>360</v>
      </c>
      <c r="B11" s="419">
        <v>1400000</v>
      </c>
      <c r="C11" s="429">
        <f>B11/B20</f>
        <v>6.7455637438668975E-2</v>
      </c>
    </row>
    <row r="12" spans="1:3" x14ac:dyDescent="0.3">
      <c r="A12" s="417" t="s">
        <v>361</v>
      </c>
      <c r="B12" s="419">
        <v>125000</v>
      </c>
      <c r="C12" s="429">
        <f>B12/B20</f>
        <v>6.02282477130973E-3</v>
      </c>
    </row>
    <row r="13" spans="1:3" x14ac:dyDescent="0.3">
      <c r="A13" s="421" t="s">
        <v>362</v>
      </c>
      <c r="B13" s="419">
        <v>406000</v>
      </c>
      <c r="C13" s="429">
        <f>B13/B20</f>
        <v>1.9562134857214003E-2</v>
      </c>
    </row>
    <row r="14" spans="1:3" x14ac:dyDescent="0.3">
      <c r="A14" s="421" t="s">
        <v>363</v>
      </c>
      <c r="B14" s="419">
        <v>160000</v>
      </c>
      <c r="C14" s="429">
        <f>B14/B20</f>
        <v>7.7092157072764537E-3</v>
      </c>
    </row>
    <row r="15" spans="1:3" x14ac:dyDescent="0.3">
      <c r="A15" s="421" t="s">
        <v>364</v>
      </c>
      <c r="B15" s="419">
        <f>'[3]Budget Worksheet'!G49</f>
        <v>64000</v>
      </c>
      <c r="C15" s="429">
        <f>B15/B20</f>
        <v>3.0836862829105817E-3</v>
      </c>
    </row>
    <row r="16" spans="1:3" x14ac:dyDescent="0.3">
      <c r="A16" s="421" t="s">
        <v>318</v>
      </c>
      <c r="B16" s="419">
        <v>161000</v>
      </c>
      <c r="C16" s="429">
        <f>B16/B20</f>
        <v>7.7573983054469321E-3</v>
      </c>
    </row>
    <row r="17" spans="1:3" x14ac:dyDescent="0.3">
      <c r="A17" s="421" t="s">
        <v>365</v>
      </c>
      <c r="B17" s="419">
        <v>519000</v>
      </c>
      <c r="C17" s="429">
        <f>B17/B20</f>
        <v>2.5006768450477997E-2</v>
      </c>
    </row>
    <row r="18" spans="1:3" x14ac:dyDescent="0.3">
      <c r="A18" s="417" t="s">
        <v>320</v>
      </c>
      <c r="B18" s="419">
        <v>442600</v>
      </c>
      <c r="C18" s="429">
        <f>B18/B20</f>
        <v>2.1325617950253492E-2</v>
      </c>
    </row>
    <row r="19" spans="1:3" x14ac:dyDescent="0.3">
      <c r="A19" s="417" t="s">
        <v>321</v>
      </c>
      <c r="B19" s="419">
        <v>1345681</v>
      </c>
      <c r="C19" s="429">
        <f>B19/B20</f>
        <v>6.4838406888646782E-2</v>
      </c>
    </row>
    <row r="20" spans="1:3" x14ac:dyDescent="0.3">
      <c r="A20" s="425" t="s">
        <v>322</v>
      </c>
      <c r="B20" s="419">
        <f>SUM(B9:B19)</f>
        <v>20754381</v>
      </c>
      <c r="C20" s="430"/>
    </row>
    <row r="21" spans="1:3" x14ac:dyDescent="0.3">
      <c r="A21" s="422"/>
      <c r="B21" s="419"/>
    </row>
    <row r="22" spans="1:3" x14ac:dyDescent="0.3">
      <c r="A22" s="176" t="s">
        <v>210</v>
      </c>
      <c r="B22" s="419"/>
    </row>
    <row r="23" spans="1:3" x14ac:dyDescent="0.3">
      <c r="A23" s="417" t="s">
        <v>311</v>
      </c>
      <c r="B23" s="419">
        <v>4325700</v>
      </c>
      <c r="C23" s="429">
        <f>B23/B37</f>
        <v>0.22557067315301202</v>
      </c>
    </row>
    <row r="24" spans="1:3" x14ac:dyDescent="0.3">
      <c r="A24" s="421" t="s">
        <v>366</v>
      </c>
      <c r="B24" s="419">
        <v>1565500</v>
      </c>
      <c r="C24" s="429">
        <f>B24/B37</f>
        <v>8.1635547731243568E-2</v>
      </c>
    </row>
    <row r="25" spans="1:3" x14ac:dyDescent="0.3">
      <c r="A25" s="421" t="s">
        <v>360</v>
      </c>
      <c r="B25" s="419">
        <v>412200</v>
      </c>
      <c r="C25" s="429">
        <f>B25/B37</f>
        <v>2.1494840482158162E-2</v>
      </c>
    </row>
    <row r="26" spans="1:3" x14ac:dyDescent="0.3">
      <c r="A26" s="421" t="s">
        <v>367</v>
      </c>
      <c r="B26" s="419">
        <v>132900</v>
      </c>
      <c r="C26" s="429">
        <f>B26/B37</f>
        <v>6.9302869967948072E-3</v>
      </c>
    </row>
    <row r="27" spans="1:3" x14ac:dyDescent="0.3">
      <c r="A27" s="421" t="s">
        <v>362</v>
      </c>
      <c r="B27" s="419">
        <v>387750</v>
      </c>
      <c r="C27" s="429">
        <f>B27/B37</f>
        <v>2.021985540261239E-2</v>
      </c>
    </row>
    <row r="28" spans="1:3" x14ac:dyDescent="0.3">
      <c r="A28" s="421" t="s">
        <v>368</v>
      </c>
      <c r="B28" s="419">
        <v>137500</v>
      </c>
      <c r="C28" s="429">
        <f>B28/B37</f>
        <v>7.1701614902880814E-3</v>
      </c>
    </row>
    <row r="29" spans="1:3" x14ac:dyDescent="0.3">
      <c r="A29" s="421" t="s">
        <v>364</v>
      </c>
      <c r="B29" s="419">
        <v>36900</v>
      </c>
      <c r="C29" s="429">
        <f>B29/B37</f>
        <v>1.9242106108482196E-3</v>
      </c>
    </row>
    <row r="30" spans="1:3" x14ac:dyDescent="0.3">
      <c r="A30" s="421" t="s">
        <v>369</v>
      </c>
      <c r="B30" s="419">
        <v>101500</v>
      </c>
      <c r="C30" s="429">
        <f>B30/B37</f>
        <v>5.292882845558111E-3</v>
      </c>
    </row>
    <row r="31" spans="1:3" x14ac:dyDescent="0.3">
      <c r="A31" s="421" t="s">
        <v>370</v>
      </c>
      <c r="B31" s="419">
        <v>459000</v>
      </c>
      <c r="C31" s="429">
        <f>B31/B37</f>
        <v>2.3935302720307122E-2</v>
      </c>
    </row>
    <row r="32" spans="1:3" x14ac:dyDescent="0.3">
      <c r="A32" s="421" t="s">
        <v>324</v>
      </c>
      <c r="B32" s="419">
        <v>364000</v>
      </c>
      <c r="C32" s="429">
        <f>B32/B37</f>
        <v>1.8981372963380812E-2</v>
      </c>
    </row>
    <row r="33" spans="1:3" x14ac:dyDescent="0.3">
      <c r="A33" s="417" t="s">
        <v>371</v>
      </c>
      <c r="B33" s="419">
        <v>6671723</v>
      </c>
      <c r="C33" s="429">
        <f>B33/B37</f>
        <v>0.34790786420704922</v>
      </c>
    </row>
    <row r="34" spans="1:3" x14ac:dyDescent="0.3">
      <c r="A34" s="417" t="s">
        <v>372</v>
      </c>
      <c r="B34" s="419">
        <v>970000</v>
      </c>
      <c r="C34" s="429">
        <f>B34/B37</f>
        <v>5.0582230149668644E-2</v>
      </c>
    </row>
    <row r="35" spans="1:3" x14ac:dyDescent="0.3">
      <c r="A35" s="417" t="s">
        <v>211</v>
      </c>
      <c r="B35" s="419">
        <v>232500</v>
      </c>
      <c r="C35" s="429">
        <f>B35/B37</f>
        <v>1.2124091247214393E-2</v>
      </c>
    </row>
    <row r="36" spans="1:3" x14ac:dyDescent="0.3">
      <c r="A36" s="417" t="s">
        <v>321</v>
      </c>
      <c r="B36" s="419">
        <v>3379522</v>
      </c>
      <c r="C36" s="429">
        <f>B36/B37</f>
        <v>0.17623067999986441</v>
      </c>
    </row>
    <row r="37" spans="1:3" x14ac:dyDescent="0.3">
      <c r="A37" s="425" t="s">
        <v>212</v>
      </c>
      <c r="B37" s="419">
        <f>SUM(B23:B36)</f>
        <v>19176695</v>
      </c>
    </row>
    <row r="38" spans="1:3" x14ac:dyDescent="0.3">
      <c r="A38" s="417"/>
      <c r="B38" s="419"/>
    </row>
    <row r="39" spans="1:3" x14ac:dyDescent="0.3">
      <c r="A39" s="423" t="s">
        <v>213</v>
      </c>
      <c r="B39" s="424">
        <f>B20-B37</f>
        <v>1577686</v>
      </c>
    </row>
    <row r="40" spans="1:3" x14ac:dyDescent="0.3">
      <c r="A40" s="417"/>
      <c r="B40" s="419"/>
    </row>
    <row r="41" spans="1:3" x14ac:dyDescent="0.3">
      <c r="A41" s="176" t="s">
        <v>373</v>
      </c>
      <c r="B41" s="419"/>
    </row>
    <row r="42" spans="1:3" x14ac:dyDescent="0.3">
      <c r="A42" s="417" t="s">
        <v>374</v>
      </c>
      <c r="B42" s="419"/>
    </row>
    <row r="43" spans="1:3" x14ac:dyDescent="0.3">
      <c r="A43" s="417" t="s">
        <v>375</v>
      </c>
      <c r="B43" s="419"/>
    </row>
    <row r="44" spans="1:3" x14ac:dyDescent="0.3">
      <c r="A44" s="417" t="s">
        <v>376</v>
      </c>
      <c r="B44" s="419"/>
    </row>
    <row r="45" spans="1:3" x14ac:dyDescent="0.3">
      <c r="A45" s="417" t="s">
        <v>377</v>
      </c>
      <c r="B45" s="419"/>
    </row>
    <row r="46" spans="1:3" x14ac:dyDescent="0.3">
      <c r="A46" s="417"/>
      <c r="B46" s="419"/>
    </row>
    <row r="47" spans="1:3" x14ac:dyDescent="0.3">
      <c r="A47" s="176" t="s">
        <v>378</v>
      </c>
      <c r="B47" s="419"/>
    </row>
    <row r="48" spans="1:3" x14ac:dyDescent="0.3">
      <c r="A48" s="417" t="s">
        <v>379</v>
      </c>
      <c r="B48" s="419">
        <v>1577686</v>
      </c>
    </row>
    <row r="49" spans="1:2" x14ac:dyDescent="0.3">
      <c r="A49" s="417" t="s">
        <v>380</v>
      </c>
      <c r="B49" s="419"/>
    </row>
    <row r="50" spans="1:2" x14ac:dyDescent="0.3">
      <c r="A50" s="417" t="s">
        <v>381</v>
      </c>
      <c r="B50" s="419"/>
    </row>
    <row r="51" spans="1:2" x14ac:dyDescent="0.3">
      <c r="A51" s="417" t="s">
        <v>382</v>
      </c>
      <c r="B51" s="419"/>
    </row>
    <row r="52" spans="1:2" x14ac:dyDescent="0.3">
      <c r="A52" s="417" t="s">
        <v>383</v>
      </c>
      <c r="B52" s="419"/>
    </row>
    <row r="53" spans="1:2" x14ac:dyDescent="0.3">
      <c r="A53" s="423" t="s">
        <v>154</v>
      </c>
      <c r="B53" s="431">
        <f>B39+SUM(B42:B45)-SUM(B48:B52)</f>
        <v>0</v>
      </c>
    </row>
    <row r="54" spans="1:2" x14ac:dyDescent="0.3">
      <c r="A54" s="425"/>
      <c r="B54" s="426"/>
    </row>
    <row r="55" spans="1:2" x14ac:dyDescent="0.3">
      <c r="A55" s="425"/>
      <c r="B55" s="426"/>
    </row>
    <row r="58" spans="1:2" x14ac:dyDescent="0.3">
      <c r="A58" s="425"/>
      <c r="B58" s="426"/>
    </row>
    <row r="59" spans="1:2" x14ac:dyDescent="0.3">
      <c r="A59" s="425"/>
      <c r="B59" s="426"/>
    </row>
  </sheetData>
  <mergeCells count="2">
    <mergeCell ref="A1:C1"/>
    <mergeCell ref="A2:C2"/>
  </mergeCells>
  <printOptions horizontalCentered="1"/>
  <pageMargins left="0.45" right="0.45" top="0.5" bottom="0.5" header="0.3" footer="0.3"/>
  <pageSetup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73"/>
  <sheetViews>
    <sheetView topLeftCell="A53" workbookViewId="0">
      <selection activeCell="C15" sqref="C15:H15"/>
    </sheetView>
  </sheetViews>
  <sheetFormatPr defaultRowHeight="14.4" x14ac:dyDescent="0.3"/>
  <cols>
    <col min="1" max="1" width="45" bestFit="1" customWidth="1"/>
    <col min="2" max="2" width="13.33203125" bestFit="1" customWidth="1"/>
    <col min="257" max="257" width="45" bestFit="1" customWidth="1"/>
    <col min="258" max="258" width="13.33203125" bestFit="1" customWidth="1"/>
    <col min="513" max="513" width="45" bestFit="1" customWidth="1"/>
    <col min="514" max="514" width="13.33203125" bestFit="1" customWidth="1"/>
    <col min="769" max="769" width="45" bestFit="1" customWidth="1"/>
    <col min="770" max="770" width="13.33203125" bestFit="1" customWidth="1"/>
    <col min="1025" max="1025" width="45" bestFit="1" customWidth="1"/>
    <col min="1026" max="1026" width="13.33203125" bestFit="1" customWidth="1"/>
    <col min="1281" max="1281" width="45" bestFit="1" customWidth="1"/>
    <col min="1282" max="1282" width="13.33203125" bestFit="1" customWidth="1"/>
    <col min="1537" max="1537" width="45" bestFit="1" customWidth="1"/>
    <col min="1538" max="1538" width="13.33203125" bestFit="1" customWidth="1"/>
    <col min="1793" max="1793" width="45" bestFit="1" customWidth="1"/>
    <col min="1794" max="1794" width="13.33203125" bestFit="1" customWidth="1"/>
    <col min="2049" max="2049" width="45" bestFit="1" customWidth="1"/>
    <col min="2050" max="2050" width="13.33203125" bestFit="1" customWidth="1"/>
    <col min="2305" max="2305" width="45" bestFit="1" customWidth="1"/>
    <col min="2306" max="2306" width="13.33203125" bestFit="1" customWidth="1"/>
    <col min="2561" max="2561" width="45" bestFit="1" customWidth="1"/>
    <col min="2562" max="2562" width="13.33203125" bestFit="1" customWidth="1"/>
    <col min="2817" max="2817" width="45" bestFit="1" customWidth="1"/>
    <col min="2818" max="2818" width="13.33203125" bestFit="1" customWidth="1"/>
    <col min="3073" max="3073" width="45" bestFit="1" customWidth="1"/>
    <col min="3074" max="3074" width="13.33203125" bestFit="1" customWidth="1"/>
    <col min="3329" max="3329" width="45" bestFit="1" customWidth="1"/>
    <col min="3330" max="3330" width="13.33203125" bestFit="1" customWidth="1"/>
    <col min="3585" max="3585" width="45" bestFit="1" customWidth="1"/>
    <col min="3586" max="3586" width="13.33203125" bestFit="1" customWidth="1"/>
    <col min="3841" max="3841" width="45" bestFit="1" customWidth="1"/>
    <col min="3842" max="3842" width="13.33203125" bestFit="1" customWidth="1"/>
    <col min="4097" max="4097" width="45" bestFit="1" customWidth="1"/>
    <col min="4098" max="4098" width="13.33203125" bestFit="1" customWidth="1"/>
    <col min="4353" max="4353" width="45" bestFit="1" customWidth="1"/>
    <col min="4354" max="4354" width="13.33203125" bestFit="1" customWidth="1"/>
    <col min="4609" max="4609" width="45" bestFit="1" customWidth="1"/>
    <col min="4610" max="4610" width="13.33203125" bestFit="1" customWidth="1"/>
    <col min="4865" max="4865" width="45" bestFit="1" customWidth="1"/>
    <col min="4866" max="4866" width="13.33203125" bestFit="1" customWidth="1"/>
    <col min="5121" max="5121" width="45" bestFit="1" customWidth="1"/>
    <col min="5122" max="5122" width="13.33203125" bestFit="1" customWidth="1"/>
    <col min="5377" max="5377" width="45" bestFit="1" customWidth="1"/>
    <col min="5378" max="5378" width="13.33203125" bestFit="1" customWidth="1"/>
    <col min="5633" max="5633" width="45" bestFit="1" customWidth="1"/>
    <col min="5634" max="5634" width="13.33203125" bestFit="1" customWidth="1"/>
    <col min="5889" max="5889" width="45" bestFit="1" customWidth="1"/>
    <col min="5890" max="5890" width="13.33203125" bestFit="1" customWidth="1"/>
    <col min="6145" max="6145" width="45" bestFit="1" customWidth="1"/>
    <col min="6146" max="6146" width="13.33203125" bestFit="1" customWidth="1"/>
    <col min="6401" max="6401" width="45" bestFit="1" customWidth="1"/>
    <col min="6402" max="6402" width="13.33203125" bestFit="1" customWidth="1"/>
    <col min="6657" max="6657" width="45" bestFit="1" customWidth="1"/>
    <col min="6658" max="6658" width="13.33203125" bestFit="1" customWidth="1"/>
    <col min="6913" max="6913" width="45" bestFit="1" customWidth="1"/>
    <col min="6914" max="6914" width="13.33203125" bestFit="1" customWidth="1"/>
    <col min="7169" max="7169" width="45" bestFit="1" customWidth="1"/>
    <col min="7170" max="7170" width="13.33203125" bestFit="1" customWidth="1"/>
    <col min="7425" max="7425" width="45" bestFit="1" customWidth="1"/>
    <col min="7426" max="7426" width="13.33203125" bestFit="1" customWidth="1"/>
    <col min="7681" max="7681" width="45" bestFit="1" customWidth="1"/>
    <col min="7682" max="7682" width="13.33203125" bestFit="1" customWidth="1"/>
    <col min="7937" max="7937" width="45" bestFit="1" customWidth="1"/>
    <col min="7938" max="7938" width="13.33203125" bestFit="1" customWidth="1"/>
    <col min="8193" max="8193" width="45" bestFit="1" customWidth="1"/>
    <col min="8194" max="8194" width="13.33203125" bestFit="1" customWidth="1"/>
    <col min="8449" max="8449" width="45" bestFit="1" customWidth="1"/>
    <col min="8450" max="8450" width="13.33203125" bestFit="1" customWidth="1"/>
    <col min="8705" max="8705" width="45" bestFit="1" customWidth="1"/>
    <col min="8706" max="8706" width="13.33203125" bestFit="1" customWidth="1"/>
    <col min="8961" max="8961" width="45" bestFit="1" customWidth="1"/>
    <col min="8962" max="8962" width="13.33203125" bestFit="1" customWidth="1"/>
    <col min="9217" max="9217" width="45" bestFit="1" customWidth="1"/>
    <col min="9218" max="9218" width="13.33203125" bestFit="1" customWidth="1"/>
    <col min="9473" max="9473" width="45" bestFit="1" customWidth="1"/>
    <col min="9474" max="9474" width="13.33203125" bestFit="1" customWidth="1"/>
    <col min="9729" max="9729" width="45" bestFit="1" customWidth="1"/>
    <col min="9730" max="9730" width="13.33203125" bestFit="1" customWidth="1"/>
    <col min="9985" max="9985" width="45" bestFit="1" customWidth="1"/>
    <col min="9986" max="9986" width="13.33203125" bestFit="1" customWidth="1"/>
    <col min="10241" max="10241" width="45" bestFit="1" customWidth="1"/>
    <col min="10242" max="10242" width="13.33203125" bestFit="1" customWidth="1"/>
    <col min="10497" max="10497" width="45" bestFit="1" customWidth="1"/>
    <col min="10498" max="10498" width="13.33203125" bestFit="1" customWidth="1"/>
    <col min="10753" max="10753" width="45" bestFit="1" customWidth="1"/>
    <col min="10754" max="10754" width="13.33203125" bestFit="1" customWidth="1"/>
    <col min="11009" max="11009" width="45" bestFit="1" customWidth="1"/>
    <col min="11010" max="11010" width="13.33203125" bestFit="1" customWidth="1"/>
    <col min="11265" max="11265" width="45" bestFit="1" customWidth="1"/>
    <col min="11266" max="11266" width="13.33203125" bestFit="1" customWidth="1"/>
    <col min="11521" max="11521" width="45" bestFit="1" customWidth="1"/>
    <col min="11522" max="11522" width="13.33203125" bestFit="1" customWidth="1"/>
    <col min="11777" max="11777" width="45" bestFit="1" customWidth="1"/>
    <col min="11778" max="11778" width="13.33203125" bestFit="1" customWidth="1"/>
    <col min="12033" max="12033" width="45" bestFit="1" customWidth="1"/>
    <col min="12034" max="12034" width="13.33203125" bestFit="1" customWidth="1"/>
    <col min="12289" max="12289" width="45" bestFit="1" customWidth="1"/>
    <col min="12290" max="12290" width="13.33203125" bestFit="1" customWidth="1"/>
    <col min="12545" max="12545" width="45" bestFit="1" customWidth="1"/>
    <col min="12546" max="12546" width="13.33203125" bestFit="1" customWidth="1"/>
    <col min="12801" max="12801" width="45" bestFit="1" customWidth="1"/>
    <col min="12802" max="12802" width="13.33203125" bestFit="1" customWidth="1"/>
    <col min="13057" max="13057" width="45" bestFit="1" customWidth="1"/>
    <col min="13058" max="13058" width="13.33203125" bestFit="1" customWidth="1"/>
    <col min="13313" max="13313" width="45" bestFit="1" customWidth="1"/>
    <col min="13314" max="13314" width="13.33203125" bestFit="1" customWidth="1"/>
    <col min="13569" max="13569" width="45" bestFit="1" customWidth="1"/>
    <col min="13570" max="13570" width="13.33203125" bestFit="1" customWidth="1"/>
    <col min="13825" max="13825" width="45" bestFit="1" customWidth="1"/>
    <col min="13826" max="13826" width="13.33203125" bestFit="1" customWidth="1"/>
    <col min="14081" max="14081" width="45" bestFit="1" customWidth="1"/>
    <col min="14082" max="14082" width="13.33203125" bestFit="1" customWidth="1"/>
    <col min="14337" max="14337" width="45" bestFit="1" customWidth="1"/>
    <col min="14338" max="14338" width="13.33203125" bestFit="1" customWidth="1"/>
    <col min="14593" max="14593" width="45" bestFit="1" customWidth="1"/>
    <col min="14594" max="14594" width="13.33203125" bestFit="1" customWidth="1"/>
    <col min="14849" max="14849" width="45" bestFit="1" customWidth="1"/>
    <col min="14850" max="14850" width="13.33203125" bestFit="1" customWidth="1"/>
    <col min="15105" max="15105" width="45" bestFit="1" customWidth="1"/>
    <col min="15106" max="15106" width="13.33203125" bestFit="1" customWidth="1"/>
    <col min="15361" max="15361" width="45" bestFit="1" customWidth="1"/>
    <col min="15362" max="15362" width="13.33203125" bestFit="1" customWidth="1"/>
    <col min="15617" max="15617" width="45" bestFit="1" customWidth="1"/>
    <col min="15618" max="15618" width="13.33203125" bestFit="1" customWidth="1"/>
    <col min="15873" max="15873" width="45" bestFit="1" customWidth="1"/>
    <col min="15874" max="15874" width="13.33203125" bestFit="1" customWidth="1"/>
    <col min="16129" max="16129" width="45" bestFit="1" customWidth="1"/>
    <col min="16130" max="16130" width="13.33203125" bestFit="1" customWidth="1"/>
  </cols>
  <sheetData>
    <row r="6" spans="1:3" x14ac:dyDescent="0.3">
      <c r="A6" s="417"/>
      <c r="B6" s="418" t="s">
        <v>306</v>
      </c>
    </row>
    <row r="7" spans="1:3" x14ac:dyDescent="0.3">
      <c r="A7" s="427"/>
      <c r="B7" s="428" t="s">
        <v>308</v>
      </c>
    </row>
    <row r="8" spans="1:3" x14ac:dyDescent="0.3">
      <c r="A8" s="176" t="s">
        <v>209</v>
      </c>
      <c r="B8" s="420"/>
    </row>
    <row r="9" spans="1:3" x14ac:dyDescent="0.3">
      <c r="A9" s="417" t="s">
        <v>311</v>
      </c>
      <c r="B9" s="419" t="e">
        <f>#REF!</f>
        <v>#REF!</v>
      </c>
      <c r="C9" s="429" t="e">
        <f>B9/B20</f>
        <v>#REF!</v>
      </c>
    </row>
    <row r="10" spans="1:3" x14ac:dyDescent="0.3">
      <c r="A10" s="417" t="s">
        <v>359</v>
      </c>
      <c r="B10" s="419" t="e">
        <f>#REF!</f>
        <v>#REF!</v>
      </c>
      <c r="C10" s="429" t="e">
        <f>B10/B20</f>
        <v>#REF!</v>
      </c>
    </row>
    <row r="11" spans="1:3" x14ac:dyDescent="0.3">
      <c r="A11" s="417" t="s">
        <v>360</v>
      </c>
      <c r="B11" s="419" t="e">
        <f>#REF!</f>
        <v>#REF!</v>
      </c>
      <c r="C11" s="429" t="e">
        <f>B11/B20</f>
        <v>#REF!</v>
      </c>
    </row>
    <row r="12" spans="1:3" x14ac:dyDescent="0.3">
      <c r="A12" s="417" t="s">
        <v>361</v>
      </c>
      <c r="B12" s="419" t="e">
        <f>#REF!</f>
        <v>#REF!</v>
      </c>
      <c r="C12" s="429" t="e">
        <f>B12/B20</f>
        <v>#REF!</v>
      </c>
    </row>
    <row r="13" spans="1:3" x14ac:dyDescent="0.3">
      <c r="A13" s="421" t="s">
        <v>362</v>
      </c>
      <c r="B13" s="419" t="e">
        <f>#REF!</f>
        <v>#REF!</v>
      </c>
      <c r="C13" s="429" t="e">
        <f>B13/B20</f>
        <v>#REF!</v>
      </c>
    </row>
    <row r="14" spans="1:3" x14ac:dyDescent="0.3">
      <c r="A14" s="421" t="s">
        <v>363</v>
      </c>
      <c r="B14" s="419" t="e">
        <f>#REF!</f>
        <v>#REF!</v>
      </c>
      <c r="C14" s="429" t="e">
        <f>B14/B20</f>
        <v>#REF!</v>
      </c>
    </row>
    <row r="15" spans="1:3" x14ac:dyDescent="0.3">
      <c r="A15" s="421" t="s">
        <v>364</v>
      </c>
      <c r="B15" s="419" t="e">
        <f>#REF!</f>
        <v>#REF!</v>
      </c>
      <c r="C15" s="429" t="e">
        <f>B15/B20</f>
        <v>#REF!</v>
      </c>
    </row>
    <row r="16" spans="1:3" x14ac:dyDescent="0.3">
      <c r="A16" s="421" t="s">
        <v>318</v>
      </c>
      <c r="B16" s="419" t="e">
        <f>#REF!</f>
        <v>#REF!</v>
      </c>
      <c r="C16" s="429" t="e">
        <f>B16/B20</f>
        <v>#REF!</v>
      </c>
    </row>
    <row r="17" spans="1:3" x14ac:dyDescent="0.3">
      <c r="A17" s="421" t="s">
        <v>365</v>
      </c>
      <c r="B17" s="419" t="e">
        <f>#REF!</f>
        <v>#REF!</v>
      </c>
      <c r="C17" s="429" t="e">
        <f>B17/B20</f>
        <v>#REF!</v>
      </c>
    </row>
    <row r="18" spans="1:3" x14ac:dyDescent="0.3">
      <c r="A18" s="417" t="s">
        <v>320</v>
      </c>
      <c r="B18" s="419" t="e">
        <f>#REF!</f>
        <v>#REF!</v>
      </c>
      <c r="C18" s="429" t="e">
        <f>B18/B20</f>
        <v>#REF!</v>
      </c>
    </row>
    <row r="19" spans="1:3" x14ac:dyDescent="0.3">
      <c r="A19" s="417" t="s">
        <v>321</v>
      </c>
      <c r="B19" s="419" t="e">
        <f>#REF!</f>
        <v>#REF!</v>
      </c>
      <c r="C19" s="429" t="e">
        <f>B19/B20</f>
        <v>#REF!</v>
      </c>
    </row>
    <row r="20" spans="1:3" x14ac:dyDescent="0.3">
      <c r="A20" s="425" t="s">
        <v>322</v>
      </c>
      <c r="B20" s="419" t="e">
        <f>SUM(B9:B19)</f>
        <v>#REF!</v>
      </c>
      <c r="C20" s="430"/>
    </row>
    <row r="21" spans="1:3" x14ac:dyDescent="0.3">
      <c r="A21" s="422"/>
      <c r="B21" s="419"/>
    </row>
    <row r="22" spans="1:3" x14ac:dyDescent="0.3">
      <c r="A22" s="176" t="s">
        <v>210</v>
      </c>
      <c r="B22" s="419"/>
    </row>
    <row r="23" spans="1:3" x14ac:dyDescent="0.3">
      <c r="A23" s="417" t="s">
        <v>311</v>
      </c>
      <c r="B23" s="419" t="e">
        <f>#REF!</f>
        <v>#REF!</v>
      </c>
      <c r="C23" s="429" t="e">
        <f>B23/B37</f>
        <v>#REF!</v>
      </c>
    </row>
    <row r="24" spans="1:3" x14ac:dyDescent="0.3">
      <c r="A24" s="421" t="s">
        <v>366</v>
      </c>
      <c r="B24" s="419" t="e">
        <f>#REF!</f>
        <v>#REF!</v>
      </c>
      <c r="C24" s="429" t="e">
        <f>B24/B37</f>
        <v>#REF!</v>
      </c>
    </row>
    <row r="25" spans="1:3" x14ac:dyDescent="0.3">
      <c r="A25" s="421" t="s">
        <v>360</v>
      </c>
      <c r="B25" s="419" t="e">
        <f>#REF!</f>
        <v>#REF!</v>
      </c>
      <c r="C25" s="429" t="e">
        <f>B25/B37</f>
        <v>#REF!</v>
      </c>
    </row>
    <row r="26" spans="1:3" x14ac:dyDescent="0.3">
      <c r="A26" s="421" t="s">
        <v>367</v>
      </c>
      <c r="B26" s="419" t="e">
        <f>#REF!</f>
        <v>#REF!</v>
      </c>
      <c r="C26" s="429" t="e">
        <f>B26/B37</f>
        <v>#REF!</v>
      </c>
    </row>
    <row r="27" spans="1:3" x14ac:dyDescent="0.3">
      <c r="A27" s="421" t="s">
        <v>362</v>
      </c>
      <c r="B27" s="419" t="e">
        <f>#REF!</f>
        <v>#REF!</v>
      </c>
      <c r="C27" s="429" t="e">
        <f>B27/B37</f>
        <v>#REF!</v>
      </c>
    </row>
    <row r="28" spans="1:3" x14ac:dyDescent="0.3">
      <c r="A28" s="421" t="s">
        <v>368</v>
      </c>
      <c r="B28" s="419" t="e">
        <f>#REF!</f>
        <v>#REF!</v>
      </c>
      <c r="C28" s="429" t="e">
        <f>B28/B37</f>
        <v>#REF!</v>
      </c>
    </row>
    <row r="29" spans="1:3" x14ac:dyDescent="0.3">
      <c r="A29" s="421" t="s">
        <v>364</v>
      </c>
      <c r="B29" s="419" t="e">
        <f>#REF!</f>
        <v>#REF!</v>
      </c>
      <c r="C29" s="429" t="e">
        <f>B29/B37</f>
        <v>#REF!</v>
      </c>
    </row>
    <row r="30" spans="1:3" x14ac:dyDescent="0.3">
      <c r="A30" s="421" t="s">
        <v>369</v>
      </c>
      <c r="B30" s="419" t="e">
        <f>#REF!</f>
        <v>#REF!</v>
      </c>
      <c r="C30" s="429" t="e">
        <f>B30/B37</f>
        <v>#REF!</v>
      </c>
    </row>
    <row r="31" spans="1:3" x14ac:dyDescent="0.3">
      <c r="A31" s="421" t="s">
        <v>370</v>
      </c>
      <c r="B31" s="419" t="e">
        <f>#REF!</f>
        <v>#REF!</v>
      </c>
      <c r="C31" s="429" t="e">
        <f>B31/B37</f>
        <v>#REF!</v>
      </c>
    </row>
    <row r="32" spans="1:3" x14ac:dyDescent="0.3">
      <c r="A32" s="421" t="s">
        <v>324</v>
      </c>
      <c r="B32" s="419" t="e">
        <f>#REF!</f>
        <v>#REF!</v>
      </c>
      <c r="C32" s="429" t="e">
        <f>B32/B37</f>
        <v>#REF!</v>
      </c>
    </row>
    <row r="33" spans="1:3" x14ac:dyDescent="0.3">
      <c r="A33" s="417" t="s">
        <v>371</v>
      </c>
      <c r="B33" s="419" t="e">
        <f>#REF!</f>
        <v>#REF!</v>
      </c>
      <c r="C33" s="429" t="e">
        <f>B33/B37</f>
        <v>#REF!</v>
      </c>
    </row>
    <row r="34" spans="1:3" x14ac:dyDescent="0.3">
      <c r="A34" s="417" t="s">
        <v>372</v>
      </c>
      <c r="B34" s="419" t="e">
        <f>#REF!</f>
        <v>#REF!</v>
      </c>
      <c r="C34" s="429" t="e">
        <f>B34/B37</f>
        <v>#REF!</v>
      </c>
    </row>
    <row r="35" spans="1:3" x14ac:dyDescent="0.3">
      <c r="A35" s="417" t="s">
        <v>211</v>
      </c>
      <c r="B35" s="419" t="e">
        <f>#REF!</f>
        <v>#REF!</v>
      </c>
      <c r="C35" s="429" t="e">
        <f>B35/B37</f>
        <v>#REF!</v>
      </c>
    </row>
    <row r="36" spans="1:3" x14ac:dyDescent="0.3">
      <c r="A36" s="417" t="s">
        <v>321</v>
      </c>
      <c r="B36" s="419" t="e">
        <f>#REF!</f>
        <v>#REF!</v>
      </c>
      <c r="C36" s="429" t="e">
        <f>B36/B37</f>
        <v>#REF!</v>
      </c>
    </row>
    <row r="37" spans="1:3" x14ac:dyDescent="0.3">
      <c r="A37" s="425" t="s">
        <v>212</v>
      </c>
      <c r="B37" s="419" t="e">
        <f>SUM(B23:B36)</f>
        <v>#REF!</v>
      </c>
    </row>
    <row r="38" spans="1:3" x14ac:dyDescent="0.3">
      <c r="A38" s="417"/>
      <c r="B38" s="419"/>
    </row>
    <row r="39" spans="1:3" x14ac:dyDescent="0.3">
      <c r="A39" s="423" t="s">
        <v>213</v>
      </c>
      <c r="B39" s="424" t="e">
        <f>B20-B37</f>
        <v>#REF!</v>
      </c>
    </row>
    <row r="40" spans="1:3" x14ac:dyDescent="0.3">
      <c r="A40" s="417"/>
      <c r="B40" s="419"/>
    </row>
    <row r="41" spans="1:3" x14ac:dyDescent="0.3">
      <c r="A41" s="176" t="s">
        <v>152</v>
      </c>
      <c r="B41" s="419"/>
    </row>
    <row r="42" spans="1:3" x14ac:dyDescent="0.3">
      <c r="A42" s="432" t="s">
        <v>214</v>
      </c>
      <c r="B42" s="419">
        <v>202466</v>
      </c>
    </row>
    <row r="43" spans="1:3" x14ac:dyDescent="0.3">
      <c r="A43" s="417" t="s">
        <v>215</v>
      </c>
      <c r="B43" s="419">
        <v>4214398</v>
      </c>
    </row>
    <row r="44" spans="1:3" x14ac:dyDescent="0.3">
      <c r="A44" s="417" t="s">
        <v>216</v>
      </c>
      <c r="B44" s="419">
        <v>16244094</v>
      </c>
    </row>
    <row r="45" spans="1:3" x14ac:dyDescent="0.3">
      <c r="A45" s="417" t="s">
        <v>217</v>
      </c>
      <c r="B45" s="419">
        <v>0</v>
      </c>
    </row>
    <row r="46" spans="1:3" x14ac:dyDescent="0.3">
      <c r="A46" s="417" t="s">
        <v>218</v>
      </c>
      <c r="B46" s="419">
        <v>0</v>
      </c>
    </row>
    <row r="47" spans="1:3" x14ac:dyDescent="0.3">
      <c r="A47" s="417" t="s">
        <v>219</v>
      </c>
      <c r="B47" s="419">
        <f>'[4]Budget Dept Recap'!B47</f>
        <v>0</v>
      </c>
    </row>
    <row r="48" spans="1:3" x14ac:dyDescent="0.3">
      <c r="A48" s="417" t="s">
        <v>220</v>
      </c>
      <c r="B48" s="419"/>
    </row>
    <row r="49" spans="1:2" x14ac:dyDescent="0.3">
      <c r="A49" s="417" t="s">
        <v>221</v>
      </c>
      <c r="B49" s="419"/>
    </row>
    <row r="50" spans="1:2" x14ac:dyDescent="0.3">
      <c r="A50" s="417" t="s">
        <v>222</v>
      </c>
      <c r="B50" s="419"/>
    </row>
    <row r="51" spans="1:2" x14ac:dyDescent="0.3">
      <c r="A51" s="417" t="s">
        <v>223</v>
      </c>
      <c r="B51" s="419">
        <f>3325000+1500000-B54</f>
        <v>2456000</v>
      </c>
    </row>
    <row r="52" spans="1:2" x14ac:dyDescent="0.3">
      <c r="A52" s="417"/>
      <c r="B52" s="419">
        <v>2164891.2999999998</v>
      </c>
    </row>
    <row r="53" spans="1:2" x14ac:dyDescent="0.3">
      <c r="A53" s="425" t="s">
        <v>224</v>
      </c>
      <c r="B53" s="419">
        <v>50000</v>
      </c>
    </row>
    <row r="54" spans="1:2" x14ac:dyDescent="0.3">
      <c r="A54" s="417"/>
      <c r="B54" s="419">
        <v>2369000</v>
      </c>
    </row>
    <row r="55" spans="1:2" x14ac:dyDescent="0.3">
      <c r="A55" s="176" t="s">
        <v>153</v>
      </c>
      <c r="B55" s="419"/>
    </row>
    <row r="56" spans="1:2" x14ac:dyDescent="0.3">
      <c r="A56" s="417" t="s">
        <v>225</v>
      </c>
      <c r="B56" s="419">
        <v>1500000</v>
      </c>
    </row>
    <row r="57" spans="1:2" x14ac:dyDescent="0.3">
      <c r="A57" s="417" t="s">
        <v>226</v>
      </c>
      <c r="B57" s="419"/>
    </row>
    <row r="58" spans="1:2" x14ac:dyDescent="0.3">
      <c r="A58" s="417" t="s">
        <v>227</v>
      </c>
      <c r="B58" s="419"/>
    </row>
    <row r="59" spans="1:2" x14ac:dyDescent="0.3">
      <c r="A59" s="432" t="s">
        <v>228</v>
      </c>
      <c r="B59" s="419"/>
    </row>
    <row r="60" spans="1:2" x14ac:dyDescent="0.3">
      <c r="A60" s="432" t="s">
        <v>229</v>
      </c>
      <c r="B60" s="419">
        <v>0</v>
      </c>
    </row>
    <row r="61" spans="1:2" x14ac:dyDescent="0.3">
      <c r="A61" s="432" t="s">
        <v>230</v>
      </c>
      <c r="B61" s="419">
        <v>393300</v>
      </c>
    </row>
    <row r="62" spans="1:2" x14ac:dyDescent="0.3">
      <c r="A62" s="432" t="s">
        <v>231</v>
      </c>
      <c r="B62" s="419"/>
    </row>
    <row r="63" spans="1:2" x14ac:dyDescent="0.3">
      <c r="A63" s="432" t="s">
        <v>232</v>
      </c>
      <c r="B63" s="431">
        <f>B49+SUM(B52:B55)-SUM(B58:B62)</f>
        <v>4190591.3</v>
      </c>
    </row>
    <row r="64" spans="1:2" x14ac:dyDescent="0.3">
      <c r="A64" s="432" t="s">
        <v>233</v>
      </c>
    </row>
    <row r="65" spans="1:1" x14ac:dyDescent="0.3">
      <c r="A65" s="417" t="s">
        <v>234</v>
      </c>
    </row>
    <row r="66" spans="1:1" x14ac:dyDescent="0.3">
      <c r="A66" s="417" t="s">
        <v>297</v>
      </c>
    </row>
    <row r="67" spans="1:1" x14ac:dyDescent="0.3">
      <c r="A67" s="417" t="s">
        <v>235</v>
      </c>
    </row>
    <row r="68" spans="1:1" x14ac:dyDescent="0.3">
      <c r="A68" s="433" t="s">
        <v>236</v>
      </c>
    </row>
    <row r="69" spans="1:1" x14ac:dyDescent="0.3">
      <c r="A69" s="417" t="s">
        <v>237</v>
      </c>
    </row>
    <row r="70" spans="1:1" x14ac:dyDescent="0.3">
      <c r="A70" s="417" t="s">
        <v>238</v>
      </c>
    </row>
    <row r="71" spans="1:1" x14ac:dyDescent="0.3">
      <c r="A71" s="417"/>
    </row>
    <row r="72" spans="1:1" x14ac:dyDescent="0.3">
      <c r="A72" s="425" t="s">
        <v>298</v>
      </c>
    </row>
    <row r="73" spans="1:1" x14ac:dyDescent="0.3">
      <c r="A73" s="434" t="s">
        <v>154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9" workbookViewId="0">
      <selection activeCell="B10" sqref="B10:K10"/>
    </sheetView>
  </sheetViews>
  <sheetFormatPr defaultRowHeight="14.4" x14ac:dyDescent="0.3"/>
  <cols>
    <col min="9" max="9" width="17.33203125" bestFit="1" customWidth="1"/>
  </cols>
  <sheetData>
    <row r="2" spans="1:9" x14ac:dyDescent="0.3">
      <c r="A2" s="345"/>
      <c r="B2" s="345"/>
      <c r="C2" s="345"/>
      <c r="D2" s="345"/>
      <c r="E2" s="345"/>
      <c r="F2" s="345"/>
      <c r="G2" s="345"/>
      <c r="H2" s="345"/>
      <c r="I2" s="345"/>
    </row>
    <row r="3" spans="1:9" x14ac:dyDescent="0.3">
      <c r="A3" s="345"/>
      <c r="B3" s="345"/>
      <c r="C3" s="345"/>
      <c r="D3" s="345"/>
      <c r="E3" s="345"/>
      <c r="F3" s="345"/>
      <c r="G3" s="345"/>
      <c r="H3" s="345"/>
      <c r="I3" s="345"/>
    </row>
    <row r="4" spans="1:9" x14ac:dyDescent="0.3">
      <c r="A4" s="345"/>
      <c r="B4" s="345"/>
      <c r="C4" s="345"/>
      <c r="D4" s="345"/>
      <c r="E4" s="345"/>
      <c r="F4" s="345"/>
      <c r="G4" s="345"/>
      <c r="H4" s="345"/>
      <c r="I4" s="345"/>
    </row>
    <row r="8" spans="1:9" ht="24.6" x14ac:dyDescent="0.4">
      <c r="C8" s="173" t="s">
        <v>141</v>
      </c>
    </row>
    <row r="12" spans="1:9" ht="24.6" x14ac:dyDescent="0.4">
      <c r="C12" s="173"/>
      <c r="D12" s="173"/>
      <c r="E12" s="173"/>
      <c r="F12" s="173"/>
      <c r="G12" s="173"/>
    </row>
    <row r="13" spans="1:9" ht="24.6" x14ac:dyDescent="0.4">
      <c r="C13" s="173"/>
      <c r="D13" s="173"/>
      <c r="E13" s="173"/>
      <c r="F13" s="173"/>
      <c r="G13" s="173"/>
    </row>
    <row r="14" spans="1:9" ht="24.6" x14ac:dyDescent="0.4">
      <c r="C14" s="173"/>
      <c r="D14" s="173"/>
      <c r="E14" s="173"/>
      <c r="F14" s="173"/>
      <c r="G14" s="173"/>
    </row>
    <row r="15" spans="1:9" ht="24.6" x14ac:dyDescent="0.4">
      <c r="C15" s="435" t="s">
        <v>358</v>
      </c>
      <c r="D15" s="435"/>
      <c r="E15" s="435"/>
      <c r="F15" s="435"/>
      <c r="G15" s="435"/>
      <c r="H15" s="435"/>
    </row>
    <row r="16" spans="1:9" ht="24.6" x14ac:dyDescent="0.4">
      <c r="C16" s="173"/>
      <c r="D16" s="173"/>
      <c r="E16" s="173"/>
      <c r="F16" s="173"/>
      <c r="G16" s="173"/>
    </row>
    <row r="17" spans="1:9" ht="24.6" x14ac:dyDescent="0.4">
      <c r="C17" s="173"/>
      <c r="D17" s="173"/>
      <c r="E17" s="173"/>
      <c r="F17" s="173"/>
      <c r="G17" s="173"/>
    </row>
    <row r="21" spans="1:9" ht="24.6" x14ac:dyDescent="0.4">
      <c r="A21" s="435" t="s">
        <v>208</v>
      </c>
      <c r="B21" s="435"/>
      <c r="C21" s="435"/>
      <c r="D21" s="435"/>
      <c r="E21" s="435"/>
      <c r="F21" s="435"/>
      <c r="G21" s="435"/>
      <c r="H21" s="435"/>
      <c r="I21" s="435"/>
    </row>
    <row r="22" spans="1:9" ht="24.6" x14ac:dyDescent="0.4">
      <c r="C22" s="173"/>
      <c r="D22" s="173"/>
      <c r="E22" s="173"/>
    </row>
    <row r="31" spans="1:9" x14ac:dyDescent="0.3">
      <c r="A31" s="345"/>
      <c r="B31" s="345"/>
      <c r="C31" s="345"/>
      <c r="D31" s="345"/>
      <c r="E31" s="345"/>
      <c r="F31" s="345"/>
      <c r="G31" s="345"/>
      <c r="H31" s="345"/>
      <c r="I31" s="345"/>
    </row>
    <row r="32" spans="1:9" x14ac:dyDescent="0.3">
      <c r="A32" s="345"/>
      <c r="B32" s="345"/>
      <c r="C32" s="345"/>
      <c r="D32" s="345"/>
      <c r="E32" s="345"/>
      <c r="F32" s="345"/>
      <c r="G32" s="345"/>
      <c r="H32" s="345"/>
      <c r="I32" s="345"/>
    </row>
    <row r="33" spans="1:9" x14ac:dyDescent="0.3">
      <c r="A33" s="345"/>
      <c r="B33" s="345"/>
      <c r="C33" s="345"/>
      <c r="D33" s="345"/>
      <c r="E33" s="345"/>
      <c r="F33" s="345"/>
      <c r="G33" s="345"/>
      <c r="H33" s="345"/>
      <c r="I33" s="345"/>
    </row>
    <row r="35" spans="1:9" x14ac:dyDescent="0.3">
      <c r="A35" s="175"/>
      <c r="B35" s="175"/>
      <c r="C35" s="175"/>
      <c r="D35" s="175"/>
    </row>
    <row r="36" spans="1:9" x14ac:dyDescent="0.3">
      <c r="A36" t="s">
        <v>139</v>
      </c>
    </row>
    <row r="37" spans="1:9" x14ac:dyDescent="0.3">
      <c r="I37" s="174">
        <f ca="1">TODAY()-1</f>
        <v>44417</v>
      </c>
    </row>
    <row r="38" spans="1:9" x14ac:dyDescent="0.3">
      <c r="A38" s="175"/>
      <c r="B38" s="175"/>
      <c r="C38" s="175"/>
      <c r="D38" s="175"/>
    </row>
    <row r="39" spans="1:9" x14ac:dyDescent="0.3">
      <c r="A39" t="s">
        <v>140</v>
      </c>
    </row>
  </sheetData>
  <mergeCells count="2">
    <mergeCell ref="C15:H15"/>
    <mergeCell ref="A21:I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7"/>
  <sheetViews>
    <sheetView zoomScaleNormal="100" workbookViewId="0">
      <selection activeCell="E12" sqref="E12"/>
    </sheetView>
  </sheetViews>
  <sheetFormatPr defaultRowHeight="14.4" x14ac:dyDescent="0.3"/>
  <cols>
    <col min="1" max="1" width="44.109375" bestFit="1" customWidth="1"/>
    <col min="2" max="2" width="15.6640625" bestFit="1" customWidth="1"/>
    <col min="3" max="4" width="16.88671875" bestFit="1" customWidth="1"/>
    <col min="5" max="5" width="16.44140625" bestFit="1" customWidth="1"/>
    <col min="6" max="6" width="16.88671875" bestFit="1" customWidth="1"/>
  </cols>
  <sheetData>
    <row r="1" spans="1:6" x14ac:dyDescent="0.3">
      <c r="A1" s="369"/>
      <c r="B1" s="370"/>
      <c r="C1" s="371" t="s">
        <v>306</v>
      </c>
      <c r="D1" s="372" t="s">
        <v>306</v>
      </c>
      <c r="E1" s="373"/>
      <c r="F1" s="374" t="s">
        <v>307</v>
      </c>
    </row>
    <row r="2" spans="1:6" x14ac:dyDescent="0.3">
      <c r="A2" s="375"/>
      <c r="B2" s="376" t="s">
        <v>341</v>
      </c>
      <c r="C2" s="377" t="s">
        <v>308</v>
      </c>
      <c r="D2" s="378" t="s">
        <v>145</v>
      </c>
      <c r="E2" s="378" t="s">
        <v>309</v>
      </c>
      <c r="F2" s="378" t="s">
        <v>145</v>
      </c>
    </row>
    <row r="3" spans="1:6" s="381" customFormat="1" ht="13.8" x14ac:dyDescent="0.25">
      <c r="A3" s="379"/>
      <c r="B3" s="380"/>
      <c r="C3" s="380"/>
      <c r="D3" s="380"/>
      <c r="E3" s="380"/>
      <c r="F3" s="380"/>
    </row>
    <row r="4" spans="1:6" s="381" customFormat="1" ht="13.8" x14ac:dyDescent="0.25">
      <c r="A4" s="379" t="s">
        <v>310</v>
      </c>
      <c r="B4" s="380"/>
      <c r="C4" s="380"/>
      <c r="D4" s="380"/>
      <c r="E4" s="380"/>
      <c r="F4" s="380"/>
    </row>
    <row r="5" spans="1:6" s="381" customFormat="1" ht="13.8" x14ac:dyDescent="0.25">
      <c r="A5" s="380" t="s">
        <v>311</v>
      </c>
      <c r="B5" s="382">
        <f>'[1] GFINC March 2020'!B22</f>
        <v>636676.31000000006</v>
      </c>
      <c r="C5" s="382">
        <f>'[1] GFINC March 2020'!C22</f>
        <v>5238974.4700000007</v>
      </c>
      <c r="D5" s="382">
        <f>'[1] GFINC March 2020'!D22</f>
        <v>6515350</v>
      </c>
      <c r="E5" s="382">
        <f>C5-D5</f>
        <v>-1276375.5299999993</v>
      </c>
      <c r="F5" s="382">
        <f>'[1] GFINC March 2020'!F22</f>
        <v>13030700</v>
      </c>
    </row>
    <row r="6" spans="1:6" s="381" customFormat="1" ht="13.8" x14ac:dyDescent="0.25">
      <c r="A6" s="380" t="s">
        <v>312</v>
      </c>
      <c r="B6" s="382">
        <f>'[1] GFINC March 2020'!B28</f>
        <v>239263.38</v>
      </c>
      <c r="C6" s="382">
        <f>'[1] GFINC March 2020'!C28</f>
        <v>1339579.8400000001</v>
      </c>
      <c r="D6" s="382">
        <f>'[1] GFINC March 2020'!D28</f>
        <v>1500300</v>
      </c>
      <c r="E6" s="382">
        <f t="shared" ref="E6:E15" si="0">C6-D6</f>
        <v>-160720.15999999992</v>
      </c>
      <c r="F6" s="382">
        <f>'[1] GFINC March 2020'!F28</f>
        <v>3000600</v>
      </c>
    </row>
    <row r="7" spans="1:6" s="381" customFormat="1" ht="13.8" x14ac:dyDescent="0.25">
      <c r="A7" s="380" t="s">
        <v>313</v>
      </c>
      <c r="B7" s="382">
        <f>'[1] GFINC March 2020'!B33</f>
        <v>108555.94</v>
      </c>
      <c r="C7" s="382">
        <f>'[1] GFINC March 2020'!C33</f>
        <v>613079.31999999995</v>
      </c>
      <c r="D7" s="382">
        <f>'[1] GFINC March 2020'!D33</f>
        <v>700000</v>
      </c>
      <c r="E7" s="382">
        <f t="shared" si="0"/>
        <v>-86920.680000000051</v>
      </c>
      <c r="F7" s="382">
        <f>'[1] GFINC March 2020'!F33</f>
        <v>1400000</v>
      </c>
    </row>
    <row r="8" spans="1:6" s="381" customFormat="1" ht="13.8" x14ac:dyDescent="0.25">
      <c r="A8" s="380" t="s">
        <v>314</v>
      </c>
      <c r="B8" s="382">
        <f>'[1] GFINC March 2020'!B37</f>
        <v>9802.7800000000007</v>
      </c>
      <c r="C8" s="382">
        <f>'[1] GFINC March 2020'!C37</f>
        <v>49331.21</v>
      </c>
      <c r="D8" s="382">
        <f>'[1] GFINC March 2020'!D37</f>
        <v>52000</v>
      </c>
      <c r="E8" s="382">
        <f t="shared" si="0"/>
        <v>-2668.7900000000009</v>
      </c>
      <c r="F8" s="382">
        <f>'[1] GFINC March 2020'!F37</f>
        <v>104000</v>
      </c>
    </row>
    <row r="9" spans="1:6" s="381" customFormat="1" ht="13.8" x14ac:dyDescent="0.25">
      <c r="A9" s="380" t="s">
        <v>315</v>
      </c>
      <c r="B9" s="382">
        <f>'[1] GFINC March 2020'!B41</f>
        <v>32222.59</v>
      </c>
      <c r="C9" s="382">
        <f>'[1] GFINC March 2020'!C41</f>
        <v>193279.45</v>
      </c>
      <c r="D9" s="382">
        <f>'[1] GFINC March 2020'!D41</f>
        <v>212500</v>
      </c>
      <c r="E9" s="382">
        <f t="shared" si="0"/>
        <v>-19220.549999999988</v>
      </c>
      <c r="F9" s="382">
        <f>'[1] GFINC March 2020'!F41</f>
        <v>425000</v>
      </c>
    </row>
    <row r="10" spans="1:6" s="381" customFormat="1" ht="13.8" x14ac:dyDescent="0.25">
      <c r="A10" s="380" t="s">
        <v>316</v>
      </c>
      <c r="B10" s="382">
        <f>'[1] GFINC March 2020'!B45</f>
        <v>13732.66</v>
      </c>
      <c r="C10" s="382">
        <f>'[1] GFINC March 2020'!C45</f>
        <v>76311.570000000007</v>
      </c>
      <c r="D10" s="382">
        <f>'[1] GFINC March 2020'!D45</f>
        <v>79500</v>
      </c>
      <c r="E10" s="382">
        <f t="shared" si="0"/>
        <v>-3188.429999999993</v>
      </c>
      <c r="F10" s="382">
        <f>'[1] GFINC March 2020'!F45</f>
        <v>159000</v>
      </c>
    </row>
    <row r="11" spans="1:6" s="381" customFormat="1" ht="13.8" x14ac:dyDescent="0.25">
      <c r="A11" s="380" t="s">
        <v>317</v>
      </c>
      <c r="B11" s="382">
        <f>'[1] GFINC March 2020'!B49</f>
        <v>6663.4</v>
      </c>
      <c r="C11" s="382">
        <f>'[1] GFINC March 2020'!C49</f>
        <v>34556.839999999997</v>
      </c>
      <c r="D11" s="382">
        <f>'[1] GFINC March 2020'!D49</f>
        <v>32000</v>
      </c>
      <c r="E11" s="382">
        <f t="shared" si="0"/>
        <v>2556.8399999999965</v>
      </c>
      <c r="F11" s="382">
        <f>'[1] GFINC March 2020'!F49</f>
        <v>64000</v>
      </c>
    </row>
    <row r="12" spans="1:6" s="381" customFormat="1" ht="13.8" x14ac:dyDescent="0.25">
      <c r="A12" s="380" t="s">
        <v>318</v>
      </c>
      <c r="B12" s="382">
        <f>'[1] GFINC March 2020'!B55</f>
        <v>720.54000000000008</v>
      </c>
      <c r="C12" s="382">
        <f>'[1] GFINC March 2020'!C55</f>
        <v>59391.68</v>
      </c>
      <c r="D12" s="382">
        <f>'[1] GFINC March 2020'!D55</f>
        <v>78250</v>
      </c>
      <c r="E12" s="382">
        <f t="shared" si="0"/>
        <v>-18858.32</v>
      </c>
      <c r="F12" s="382">
        <f>'[1] GFINC March 2020'!F55</f>
        <v>156500</v>
      </c>
    </row>
    <row r="13" spans="1:6" s="381" customFormat="1" ht="13.8" x14ac:dyDescent="0.25">
      <c r="A13" s="380" t="s">
        <v>319</v>
      </c>
      <c r="B13" s="382">
        <f>'[1] GFINC March 2020'!B59</f>
        <v>42985.56</v>
      </c>
      <c r="C13" s="382">
        <f>'[1] GFINC March 2020'!C59</f>
        <v>237782.04</v>
      </c>
      <c r="D13" s="382">
        <f>'[1] GFINC March 2020'!D59</f>
        <v>246600</v>
      </c>
      <c r="E13" s="382">
        <f t="shared" si="0"/>
        <v>-8817.9599999999919</v>
      </c>
      <c r="F13" s="382">
        <f>'[1] GFINC March 2020'!F59</f>
        <v>493200</v>
      </c>
    </row>
    <row r="14" spans="1:6" s="381" customFormat="1" ht="13.8" x14ac:dyDescent="0.25">
      <c r="A14" s="380" t="s">
        <v>320</v>
      </c>
      <c r="B14" s="382">
        <f>'[1] GFINC March 2020'!B72</f>
        <v>25689.120000000003</v>
      </c>
      <c r="C14" s="382">
        <f>'[1] GFINC March 2020'!C72</f>
        <v>228568.62</v>
      </c>
      <c r="D14" s="382">
        <f>'[1] GFINC March 2020'!D72</f>
        <v>213550</v>
      </c>
      <c r="E14" s="382">
        <f t="shared" si="0"/>
        <v>15018.619999999995</v>
      </c>
      <c r="F14" s="383">
        <f>'[1] GFINC March 2020'!F72</f>
        <v>427100</v>
      </c>
    </row>
    <row r="15" spans="1:6" s="381" customFormat="1" ht="13.8" x14ac:dyDescent="0.25">
      <c r="A15" s="380" t="s">
        <v>321</v>
      </c>
      <c r="B15" s="382">
        <f>'[1] GFINC March 2020'!B110</f>
        <v>136219.06999999998</v>
      </c>
      <c r="C15" s="382">
        <f>'[1] GFINC March 2020'!C110</f>
        <v>776974.25</v>
      </c>
      <c r="D15" s="382">
        <f>'[1] GFINC March 2020'!D110</f>
        <v>799500</v>
      </c>
      <c r="E15" s="382">
        <f t="shared" si="0"/>
        <v>-22525.75</v>
      </c>
      <c r="F15" s="383">
        <f>'[1] GFINC March 2020'!F110</f>
        <v>1599000</v>
      </c>
    </row>
    <row r="16" spans="1:6" s="381" customFormat="1" ht="13.8" x14ac:dyDescent="0.25">
      <c r="A16" s="380"/>
      <c r="B16" s="382"/>
      <c r="C16" s="382"/>
      <c r="D16" s="382"/>
      <c r="E16" s="382"/>
      <c r="F16" s="380"/>
    </row>
    <row r="17" spans="1:6" s="381" customFormat="1" x14ac:dyDescent="0.3">
      <c r="A17" s="384" t="s">
        <v>322</v>
      </c>
      <c r="B17" s="385">
        <f>SUM(B5:B16)</f>
        <v>1252531.3500000003</v>
      </c>
      <c r="C17" s="385">
        <f>SUM(C5:C16)</f>
        <v>8847829.290000001</v>
      </c>
      <c r="D17" s="385">
        <f>SUM(D5:D16)</f>
        <v>10429550</v>
      </c>
      <c r="E17" s="385">
        <f>SUM(E5:E16)</f>
        <v>-1581720.709999999</v>
      </c>
      <c r="F17" s="386">
        <f>SUM(F5:F16)</f>
        <v>20859100</v>
      </c>
    </row>
    <row r="18" spans="1:6" s="381" customFormat="1" ht="13.8" x14ac:dyDescent="0.25">
      <c r="A18" s="380"/>
      <c r="B18" s="382"/>
      <c r="C18" s="382"/>
      <c r="D18" s="382"/>
      <c r="E18" s="382"/>
      <c r="F18" s="380"/>
    </row>
    <row r="19" spans="1:6" s="381" customFormat="1" ht="13.8" x14ac:dyDescent="0.25">
      <c r="A19" s="380"/>
      <c r="B19" s="382"/>
      <c r="C19" s="382"/>
      <c r="D19" s="382"/>
      <c r="E19" s="382"/>
      <c r="F19" s="380"/>
    </row>
    <row r="20" spans="1:6" s="381" customFormat="1" x14ac:dyDescent="0.3">
      <c r="A20" s="387" t="s">
        <v>323</v>
      </c>
      <c r="B20" s="382"/>
      <c r="C20" s="382"/>
      <c r="D20" s="382"/>
      <c r="E20" s="382"/>
      <c r="F20" s="380"/>
    </row>
    <row r="21" spans="1:6" s="381" customFormat="1" ht="13.8" x14ac:dyDescent="0.25">
      <c r="A21" s="380" t="s">
        <v>311</v>
      </c>
      <c r="B21" s="382">
        <f>'[1] GFINC March 2020'!B175</f>
        <v>276417.62</v>
      </c>
      <c r="C21" s="382">
        <f>'[1] GFINC March 2020'!C175</f>
        <v>1418946.68</v>
      </c>
      <c r="D21" s="382">
        <f>'[1] GFINC March 2020'!D175</f>
        <v>2189900</v>
      </c>
      <c r="E21" s="382">
        <f t="shared" ref="E21:E34" si="1">C21-D21</f>
        <v>-770953.32000000007</v>
      </c>
      <c r="F21" s="383">
        <f>'[1] GFINC March 2020'!F175</f>
        <v>4379800</v>
      </c>
    </row>
    <row r="22" spans="1:6" s="381" customFormat="1" ht="13.8" x14ac:dyDescent="0.25">
      <c r="A22" s="380" t="s">
        <v>312</v>
      </c>
      <c r="B22" s="382">
        <f>'[1] GFINC March 2020'!B207</f>
        <v>158231.52999999997</v>
      </c>
      <c r="C22" s="382">
        <f>'[1] GFINC March 2020'!C207</f>
        <v>671714.97000000009</v>
      </c>
      <c r="D22" s="382">
        <f>'[1] GFINC March 2020'!D207</f>
        <v>900750</v>
      </c>
      <c r="E22" s="382">
        <f t="shared" si="1"/>
        <v>-229035.02999999991</v>
      </c>
      <c r="F22" s="383">
        <f>'[1] GFINC March 2020'!F207</f>
        <v>1801500</v>
      </c>
    </row>
    <row r="23" spans="1:6" s="381" customFormat="1" ht="13.8" x14ac:dyDescent="0.25">
      <c r="A23" s="380" t="s">
        <v>313</v>
      </c>
      <c r="B23" s="382">
        <f>'[1] GFINC March 2020'!B232</f>
        <v>29463.65</v>
      </c>
      <c r="C23" s="382">
        <f>'[1] GFINC March 2020'!C232</f>
        <v>165569.28999999998</v>
      </c>
      <c r="D23" s="382">
        <f>'[1] GFINC March 2020'!D232</f>
        <v>226000</v>
      </c>
      <c r="E23" s="382">
        <f t="shared" si="1"/>
        <v>-60430.710000000021</v>
      </c>
      <c r="F23" s="383">
        <f>'[1] GFINC March 2020'!F232</f>
        <v>452000</v>
      </c>
    </row>
    <row r="24" spans="1:6" s="381" customFormat="1" ht="13.8" x14ac:dyDescent="0.25">
      <c r="A24" s="380" t="s">
        <v>314</v>
      </c>
      <c r="B24" s="382">
        <f>'[1] GFINC March 2020'!B255</f>
        <v>6679.5700000000006</v>
      </c>
      <c r="C24" s="382">
        <f>'[1] GFINC March 2020'!C255</f>
        <v>30808.57</v>
      </c>
      <c r="D24" s="382">
        <f>'[1] GFINC March 2020'!D255</f>
        <v>56150</v>
      </c>
      <c r="E24" s="382">
        <f t="shared" si="1"/>
        <v>-25341.43</v>
      </c>
      <c r="F24" s="383">
        <f>'[1] GFINC March 2020'!F255</f>
        <v>112300</v>
      </c>
    </row>
    <row r="25" spans="1:6" s="381" customFormat="1" ht="13.8" x14ac:dyDescent="0.25">
      <c r="A25" s="380" t="s">
        <v>315</v>
      </c>
      <c r="B25" s="382">
        <f>'[1] GFINC March 2020'!B264</f>
        <v>30314.23</v>
      </c>
      <c r="C25" s="382">
        <f>'[1] GFINC March 2020'!C264</f>
        <v>122175.81</v>
      </c>
      <c r="D25" s="382">
        <f>'[1] GFINC March 2020'!D264</f>
        <v>203800</v>
      </c>
      <c r="E25" s="382">
        <f t="shared" si="1"/>
        <v>-81624.19</v>
      </c>
      <c r="F25" s="383">
        <f>'[1] GFINC March 2020'!F264</f>
        <v>407600</v>
      </c>
    </row>
    <row r="26" spans="1:6" s="381" customFormat="1" ht="13.8" x14ac:dyDescent="0.25">
      <c r="A26" s="380" t="s">
        <v>316</v>
      </c>
      <c r="B26" s="382">
        <f>'[1] GFINC March 2020'!B271</f>
        <v>9598.07</v>
      </c>
      <c r="C26" s="382">
        <f>'[1] GFINC March 2020'!C271</f>
        <v>55386.720000000001</v>
      </c>
      <c r="D26" s="382">
        <f>'[1] GFINC March 2020'!D271</f>
        <v>58400</v>
      </c>
      <c r="E26" s="382">
        <f t="shared" si="1"/>
        <v>-3013.2799999999988</v>
      </c>
      <c r="F26" s="383">
        <f>'[1] GFINC March 2020'!F271</f>
        <v>116800</v>
      </c>
    </row>
    <row r="27" spans="1:6" s="381" customFormat="1" ht="13.8" x14ac:dyDescent="0.25">
      <c r="A27" s="380" t="s">
        <v>317</v>
      </c>
      <c r="B27" s="382">
        <f>'[1] GFINC March 2020'!B286</f>
        <v>6534.71</v>
      </c>
      <c r="C27" s="382">
        <f>'[1] GFINC March 2020'!C286</f>
        <v>18844.54</v>
      </c>
      <c r="D27" s="382">
        <f>'[1] GFINC March 2020'!D286</f>
        <v>14600</v>
      </c>
      <c r="E27" s="382">
        <f t="shared" si="1"/>
        <v>4244.5400000000009</v>
      </c>
      <c r="F27" s="383">
        <f>'[1] GFINC March 2020'!F286</f>
        <v>29200</v>
      </c>
    </row>
    <row r="28" spans="1:6" s="381" customFormat="1" ht="13.8" x14ac:dyDescent="0.25">
      <c r="A28" s="380" t="s">
        <v>318</v>
      </c>
      <c r="B28" s="382">
        <f>'[1] GFINC March 2020'!B294</f>
        <v>5653.32</v>
      </c>
      <c r="C28" s="382">
        <f>'[1] GFINC March 2020'!C294</f>
        <v>37898.92</v>
      </c>
      <c r="D28" s="382">
        <f>'[1] GFINC March 2020'!D294</f>
        <v>55000</v>
      </c>
      <c r="E28" s="382">
        <f t="shared" si="1"/>
        <v>-17101.080000000002</v>
      </c>
      <c r="F28" s="383">
        <f>'[1] GFINC March 2020'!F294</f>
        <v>110000</v>
      </c>
    </row>
    <row r="29" spans="1:6" s="381" customFormat="1" ht="13.8" x14ac:dyDescent="0.25">
      <c r="A29" s="380" t="s">
        <v>319</v>
      </c>
      <c r="B29" s="382">
        <f>'[1] GFINC March 2020'!B298</f>
        <v>37393.879999999997</v>
      </c>
      <c r="C29" s="382">
        <f>'[1] GFINC March 2020'!C298</f>
        <v>185590.06</v>
      </c>
      <c r="D29" s="382">
        <f>'[1] GFINC March 2020'!D298</f>
        <v>212500</v>
      </c>
      <c r="E29" s="382">
        <f t="shared" si="1"/>
        <v>-26909.940000000002</v>
      </c>
      <c r="F29" s="383">
        <f>'[1] GFINC March 2020'!F298</f>
        <v>425000</v>
      </c>
    </row>
    <row r="30" spans="1:6" s="381" customFormat="1" ht="13.8" x14ac:dyDescent="0.25">
      <c r="A30" s="380" t="s">
        <v>324</v>
      </c>
      <c r="B30" s="382">
        <f>'[1] GFINC March 2020'!B307</f>
        <v>20768.52</v>
      </c>
      <c r="C30" s="382">
        <f>'[1] GFINC March 2020'!C299</f>
        <v>0</v>
      </c>
      <c r="D30" s="382">
        <f>'[1] GFINC March 2020'!D299</f>
        <v>0</v>
      </c>
      <c r="E30" s="382">
        <f t="shared" si="1"/>
        <v>0</v>
      </c>
      <c r="F30" s="383">
        <f>'[1] GFINC March 2020'!F307</f>
        <v>317000</v>
      </c>
    </row>
    <row r="31" spans="1:6" s="381" customFormat="1" ht="13.8" x14ac:dyDescent="0.25">
      <c r="A31" s="380" t="s">
        <v>325</v>
      </c>
      <c r="B31" s="382">
        <f>'[1] GFINC March 2020'!B329</f>
        <v>438165.72</v>
      </c>
      <c r="C31" s="382">
        <f>'[1] GFINC March 2020'!C329</f>
        <v>2666965.5299999998</v>
      </c>
      <c r="D31" s="382">
        <f>'[1] GFINC March 2020'!D329</f>
        <v>3092792</v>
      </c>
      <c r="E31" s="382">
        <f t="shared" si="1"/>
        <v>-425826.4700000002</v>
      </c>
      <c r="F31" s="383">
        <f>'[1] GFINC March 2020'!F329</f>
        <v>6185584</v>
      </c>
    </row>
    <row r="32" spans="1:6" s="381" customFormat="1" ht="13.8" x14ac:dyDescent="0.25">
      <c r="A32" s="380" t="s">
        <v>326</v>
      </c>
      <c r="B32" s="382">
        <f>'[1] GFINC March 2020'!B339</f>
        <v>17661.539999999997</v>
      </c>
      <c r="C32" s="382">
        <f>'[1] GFINC March 2020'!C339</f>
        <v>478070.41999999993</v>
      </c>
      <c r="D32" s="382">
        <f>'[1] GFINC March 2020'!D339</f>
        <v>402500</v>
      </c>
      <c r="E32" s="382">
        <f t="shared" si="1"/>
        <v>75570.419999999925</v>
      </c>
      <c r="F32" s="383">
        <f>'[1] GFINC March 2020'!F339</f>
        <v>805000</v>
      </c>
    </row>
    <row r="33" spans="1:6" s="381" customFormat="1" ht="13.8" x14ac:dyDescent="0.25">
      <c r="A33" s="380" t="s">
        <v>327</v>
      </c>
      <c r="B33" s="382">
        <f>'[1] GFINC March 2020'!B358</f>
        <v>20041.7</v>
      </c>
      <c r="C33" s="382">
        <f>'[1] GFINC March 2020'!C358</f>
        <v>131926.47</v>
      </c>
      <c r="D33" s="382">
        <f>'[1] GFINC March 2020'!D358</f>
        <v>119250</v>
      </c>
      <c r="E33" s="382">
        <f t="shared" si="1"/>
        <v>12676.470000000001</v>
      </c>
      <c r="F33" s="388">
        <f>'[1] GFINC March 2020'!F358</f>
        <v>238500</v>
      </c>
    </row>
    <row r="34" spans="1:6" s="381" customFormat="1" ht="13.8" x14ac:dyDescent="0.25">
      <c r="A34" s="380" t="s">
        <v>321</v>
      </c>
      <c r="B34" s="382">
        <f>'[1] GFINC March 2020'!B406</f>
        <v>70274.819999999992</v>
      </c>
      <c r="C34" s="389">
        <f>'[1] GFINC March 2020'!C406</f>
        <v>1113578.23</v>
      </c>
      <c r="D34" s="389">
        <f>'[1] GFINC March 2020'!D406</f>
        <v>2104613</v>
      </c>
      <c r="E34" s="382">
        <f t="shared" si="1"/>
        <v>-991034.77</v>
      </c>
      <c r="F34" s="389">
        <f>'[1] GFINC March 2020'!F406</f>
        <v>4209226</v>
      </c>
    </row>
    <row r="35" spans="1:6" s="381" customFormat="1" ht="13.8" x14ac:dyDescent="0.25">
      <c r="A35" s="380"/>
      <c r="B35" s="382"/>
      <c r="C35" s="382"/>
      <c r="D35" s="382"/>
      <c r="E35" s="382"/>
      <c r="F35" s="380"/>
    </row>
    <row r="36" spans="1:6" s="381" customFormat="1" x14ac:dyDescent="0.3">
      <c r="A36" s="384" t="s">
        <v>212</v>
      </c>
      <c r="B36" s="385">
        <f>SUM(B21:B35)</f>
        <v>1127198.8800000001</v>
      </c>
      <c r="C36" s="385">
        <f>SUM(C21:C35)</f>
        <v>7097476.209999999</v>
      </c>
      <c r="D36" s="385">
        <f>SUM(D21:D35)</f>
        <v>9636255</v>
      </c>
      <c r="E36" s="385">
        <f>SUM(E21:E35)</f>
        <v>-2538778.79</v>
      </c>
      <c r="F36" s="386">
        <f>SUM(F21:F35)</f>
        <v>19589510</v>
      </c>
    </row>
    <row r="37" spans="1:6" s="381" customFormat="1" ht="13.8" x14ac:dyDescent="0.25">
      <c r="A37" s="380"/>
      <c r="B37" s="382"/>
      <c r="C37" s="382"/>
      <c r="D37" s="382"/>
      <c r="E37" s="382"/>
      <c r="F37" s="380"/>
    </row>
    <row r="38" spans="1:6" s="381" customFormat="1" ht="13.8" x14ac:dyDescent="0.25">
      <c r="A38" s="380"/>
      <c r="B38" s="382"/>
      <c r="C38" s="382"/>
      <c r="D38" s="382"/>
      <c r="E38" s="382"/>
      <c r="F38" s="380"/>
    </row>
    <row r="39" spans="1:6" s="381" customFormat="1" x14ac:dyDescent="0.3">
      <c r="A39" s="390" t="s">
        <v>213</v>
      </c>
      <c r="B39" s="385">
        <f>B17-B36</f>
        <v>125332.4700000002</v>
      </c>
      <c r="C39" s="385">
        <f>C17-C36</f>
        <v>1750353.0800000019</v>
      </c>
      <c r="D39" s="385">
        <f>D17-D36</f>
        <v>793295</v>
      </c>
      <c r="E39" s="385">
        <f>E17-E36</f>
        <v>957058.08000000101</v>
      </c>
      <c r="F39" s="386">
        <f>F17-F36</f>
        <v>1269590</v>
      </c>
    </row>
    <row r="40" spans="1:6" s="381" customFormat="1" ht="13.8" x14ac:dyDescent="0.25">
      <c r="A40" s="380"/>
      <c r="B40" s="382"/>
      <c r="C40" s="382"/>
      <c r="D40" s="382"/>
      <c r="E40" s="382"/>
      <c r="F40" s="380"/>
    </row>
    <row r="41" spans="1:6" s="381" customFormat="1" ht="13.8" x14ac:dyDescent="0.25">
      <c r="A41" s="391" t="s">
        <v>328</v>
      </c>
      <c r="B41" s="353"/>
      <c r="C41" s="354"/>
      <c r="D41" s="392"/>
      <c r="E41" s="353"/>
      <c r="F41" s="352"/>
    </row>
    <row r="42" spans="1:6" s="381" customFormat="1" ht="13.8" x14ac:dyDescent="0.25">
      <c r="A42" s="393" t="s">
        <v>329</v>
      </c>
      <c r="B42" s="353">
        <v>0</v>
      </c>
      <c r="C42" s="353">
        <v>0</v>
      </c>
      <c r="D42" s="394">
        <f t="shared" ref="D42:D54" si="2">(F42/12)*1</f>
        <v>24945.416666666668</v>
      </c>
      <c r="E42" s="395">
        <f t="shared" ref="E42:E54" si="3">C42-D42</f>
        <v>-24945.416666666668</v>
      </c>
      <c r="F42" s="355">
        <v>299345</v>
      </c>
    </row>
    <row r="43" spans="1:6" s="381" customFormat="1" ht="13.8" x14ac:dyDescent="0.25">
      <c r="A43" s="393" t="s">
        <v>330</v>
      </c>
      <c r="B43" s="353">
        <v>0</v>
      </c>
      <c r="C43" s="353">
        <v>0</v>
      </c>
      <c r="D43" s="394">
        <f t="shared" si="2"/>
        <v>345660.25</v>
      </c>
      <c r="E43" s="395">
        <f t="shared" si="3"/>
        <v>-345660.25</v>
      </c>
      <c r="F43" s="355">
        <v>4147923</v>
      </c>
    </row>
    <row r="44" spans="1:6" s="381" customFormat="1" ht="13.8" x14ac:dyDescent="0.25">
      <c r="A44" s="396" t="s">
        <v>331</v>
      </c>
      <c r="B44" s="353">
        <v>0</v>
      </c>
      <c r="C44" s="353">
        <v>0</v>
      </c>
      <c r="D44" s="394">
        <f t="shared" si="2"/>
        <v>0</v>
      </c>
      <c r="E44" s="395">
        <f t="shared" si="3"/>
        <v>0</v>
      </c>
      <c r="F44" s="355">
        <v>0</v>
      </c>
    </row>
    <row r="45" spans="1:6" s="381" customFormat="1" ht="13.8" x14ac:dyDescent="0.25">
      <c r="A45" s="182" t="s">
        <v>332</v>
      </c>
      <c r="B45" s="353">
        <v>0</v>
      </c>
      <c r="C45" s="353">
        <v>0</v>
      </c>
      <c r="D45" s="394">
        <f t="shared" si="2"/>
        <v>360822.91666666669</v>
      </c>
      <c r="E45" s="395">
        <f t="shared" si="3"/>
        <v>-360822.91666666669</v>
      </c>
      <c r="F45" s="397">
        <v>4329875</v>
      </c>
    </row>
    <row r="46" spans="1:6" s="381" customFormat="1" ht="13.8" x14ac:dyDescent="0.25">
      <c r="A46" s="182" t="s">
        <v>333</v>
      </c>
      <c r="B46" s="353">
        <v>0</v>
      </c>
      <c r="C46" s="353">
        <v>0</v>
      </c>
      <c r="D46" s="394">
        <f t="shared" si="2"/>
        <v>9358.3333333333339</v>
      </c>
      <c r="E46" s="395">
        <f t="shared" si="3"/>
        <v>-9358.3333333333339</v>
      </c>
      <c r="F46" s="397">
        <f>F24</f>
        <v>112300</v>
      </c>
    </row>
    <row r="47" spans="1:6" s="381" customFormat="1" ht="13.8" x14ac:dyDescent="0.25">
      <c r="A47" s="182" t="s">
        <v>217</v>
      </c>
      <c r="B47" s="353">
        <v>0</v>
      </c>
      <c r="C47" s="353">
        <v>0</v>
      </c>
      <c r="D47" s="394">
        <f t="shared" si="2"/>
        <v>0</v>
      </c>
      <c r="E47" s="395">
        <f t="shared" si="3"/>
        <v>0</v>
      </c>
      <c r="F47" s="352"/>
    </row>
    <row r="48" spans="1:6" s="381" customFormat="1" ht="13.8" x14ac:dyDescent="0.25">
      <c r="A48" s="182" t="s">
        <v>218</v>
      </c>
      <c r="B48" s="353">
        <v>0</v>
      </c>
      <c r="C48" s="353">
        <v>0</v>
      </c>
      <c r="D48" s="394">
        <f t="shared" si="2"/>
        <v>0</v>
      </c>
      <c r="E48" s="395">
        <f t="shared" si="3"/>
        <v>0</v>
      </c>
      <c r="F48" s="352"/>
    </row>
    <row r="49" spans="1:6" s="381" customFormat="1" ht="13.8" x14ac:dyDescent="0.25">
      <c r="A49" s="182" t="s">
        <v>219</v>
      </c>
      <c r="B49" s="353">
        <v>0</v>
      </c>
      <c r="C49" s="353">
        <v>0</v>
      </c>
      <c r="D49" s="394">
        <f t="shared" si="2"/>
        <v>0</v>
      </c>
      <c r="E49" s="395">
        <f t="shared" si="3"/>
        <v>0</v>
      </c>
      <c r="F49" s="352"/>
    </row>
    <row r="50" spans="1:6" s="381" customFormat="1" ht="13.8" x14ac:dyDescent="0.25">
      <c r="A50" s="182" t="s">
        <v>334</v>
      </c>
      <c r="B50" s="353">
        <v>0</v>
      </c>
      <c r="C50" s="353">
        <v>0</v>
      </c>
      <c r="D50" s="394">
        <f t="shared" si="2"/>
        <v>16666.666666666668</v>
      </c>
      <c r="E50" s="395">
        <f t="shared" si="3"/>
        <v>-16666.666666666668</v>
      </c>
      <c r="F50" s="355">
        <v>200000</v>
      </c>
    </row>
    <row r="51" spans="1:6" s="381" customFormat="1" ht="13.8" x14ac:dyDescent="0.25">
      <c r="A51" s="182" t="s">
        <v>335</v>
      </c>
      <c r="B51" s="353">
        <v>0</v>
      </c>
      <c r="C51" s="353">
        <v>0</v>
      </c>
      <c r="D51" s="394">
        <f t="shared" si="2"/>
        <v>16083.333333333334</v>
      </c>
      <c r="E51" s="395">
        <f t="shared" si="3"/>
        <v>-16083.333333333334</v>
      </c>
      <c r="F51" s="355">
        <v>193000</v>
      </c>
    </row>
    <row r="52" spans="1:6" s="381" customFormat="1" ht="13.8" x14ac:dyDescent="0.25">
      <c r="A52" s="182" t="s">
        <v>221</v>
      </c>
      <c r="B52" s="353">
        <v>0</v>
      </c>
      <c r="C52" s="353">
        <v>0</v>
      </c>
      <c r="D52" s="394">
        <f t="shared" si="2"/>
        <v>0</v>
      </c>
      <c r="E52" s="395">
        <f t="shared" si="3"/>
        <v>0</v>
      </c>
      <c r="F52" s="352"/>
    </row>
    <row r="53" spans="1:6" s="381" customFormat="1" ht="13.8" x14ac:dyDescent="0.25">
      <c r="A53" s="182" t="s">
        <v>222</v>
      </c>
      <c r="B53" s="353">
        <v>0</v>
      </c>
      <c r="C53" s="353">
        <v>0</v>
      </c>
      <c r="D53" s="394">
        <f t="shared" si="2"/>
        <v>0</v>
      </c>
      <c r="E53" s="395">
        <f t="shared" si="3"/>
        <v>0</v>
      </c>
      <c r="F53" s="352"/>
    </row>
    <row r="54" spans="1:6" s="381" customFormat="1" ht="13.8" x14ac:dyDescent="0.25">
      <c r="A54" s="182" t="s">
        <v>223</v>
      </c>
      <c r="B54" s="353">
        <f>'[1] GFINC March 2020'!B426</f>
        <v>62080</v>
      </c>
      <c r="C54" s="353">
        <f>'[1] GFINC March 2020'!C426</f>
        <v>371105</v>
      </c>
      <c r="D54" s="394">
        <f t="shared" si="2"/>
        <v>61000</v>
      </c>
      <c r="E54" s="395">
        <f t="shared" si="3"/>
        <v>310105</v>
      </c>
      <c r="F54" s="352">
        <v>732000</v>
      </c>
    </row>
    <row r="55" spans="1:6" s="381" customFormat="1" ht="13.8" x14ac:dyDescent="0.25">
      <c r="A55" s="398"/>
      <c r="B55" s="399"/>
      <c r="C55" s="399"/>
      <c r="D55" s="400"/>
      <c r="E55" s="399"/>
      <c r="F55" s="401"/>
    </row>
    <row r="56" spans="1:6" s="381" customFormat="1" ht="13.8" x14ac:dyDescent="0.25">
      <c r="A56" s="391" t="s">
        <v>336</v>
      </c>
      <c r="B56" s="353"/>
      <c r="C56" s="353"/>
      <c r="D56" s="392"/>
      <c r="E56" s="353"/>
      <c r="F56" s="352"/>
    </row>
    <row r="57" spans="1:6" s="381" customFormat="1" ht="13.8" x14ac:dyDescent="0.25">
      <c r="A57" s="182" t="s">
        <v>225</v>
      </c>
      <c r="B57" s="353">
        <v>0</v>
      </c>
      <c r="C57" s="353">
        <v>0</v>
      </c>
      <c r="D57" s="394">
        <f t="shared" ref="D57:D68" si="4">(F57/12)*1</f>
        <v>0</v>
      </c>
      <c r="E57" s="395">
        <f t="shared" ref="E57:E68" si="5">C57-D57</f>
        <v>0</v>
      </c>
      <c r="F57" s="352"/>
    </row>
    <row r="58" spans="1:6" s="381" customFormat="1" ht="13.8" x14ac:dyDescent="0.25">
      <c r="A58" s="182" t="s">
        <v>226</v>
      </c>
      <c r="B58" s="353">
        <v>0</v>
      </c>
      <c r="C58" s="353">
        <v>0</v>
      </c>
      <c r="D58" s="394">
        <f t="shared" si="4"/>
        <v>0</v>
      </c>
      <c r="E58" s="395">
        <f t="shared" si="5"/>
        <v>0</v>
      </c>
      <c r="F58" s="352">
        <v>0</v>
      </c>
    </row>
    <row r="59" spans="1:6" s="381" customFormat="1" ht="13.8" x14ac:dyDescent="0.25">
      <c r="A59" s="182" t="s">
        <v>227</v>
      </c>
      <c r="B59" s="353">
        <v>0</v>
      </c>
      <c r="C59" s="353">
        <v>0</v>
      </c>
      <c r="D59" s="394">
        <f t="shared" si="4"/>
        <v>0</v>
      </c>
      <c r="E59" s="395">
        <f t="shared" si="5"/>
        <v>0</v>
      </c>
      <c r="F59" s="352">
        <v>0</v>
      </c>
    </row>
    <row r="60" spans="1:6" s="381" customFormat="1" ht="13.8" x14ac:dyDescent="0.25">
      <c r="A60" s="182" t="s">
        <v>228</v>
      </c>
      <c r="B60" s="353">
        <v>0</v>
      </c>
      <c r="C60" s="353">
        <v>0</v>
      </c>
      <c r="D60" s="394">
        <f t="shared" si="4"/>
        <v>0</v>
      </c>
      <c r="E60" s="395">
        <f t="shared" si="5"/>
        <v>0</v>
      </c>
      <c r="F60" s="352"/>
    </row>
    <row r="61" spans="1:6" s="381" customFormat="1" ht="13.8" x14ac:dyDescent="0.25">
      <c r="A61" s="182" t="s">
        <v>229</v>
      </c>
      <c r="B61" s="353">
        <v>0</v>
      </c>
      <c r="C61" s="353">
        <f>B35</f>
        <v>0</v>
      </c>
      <c r="D61" s="394">
        <f t="shared" si="4"/>
        <v>186545.16666666666</v>
      </c>
      <c r="E61" s="395">
        <f t="shared" si="5"/>
        <v>-186545.16666666666</v>
      </c>
      <c r="F61" s="352">
        <v>2238542</v>
      </c>
    </row>
    <row r="62" spans="1:6" s="381" customFormat="1" ht="13.8" x14ac:dyDescent="0.25">
      <c r="A62" s="224" t="s">
        <v>337</v>
      </c>
      <c r="B62" s="353">
        <v>0</v>
      </c>
      <c r="C62" s="353">
        <v>162628.29999999999</v>
      </c>
      <c r="D62" s="394">
        <f t="shared" si="4"/>
        <v>125000</v>
      </c>
      <c r="E62" s="395">
        <f t="shared" si="5"/>
        <v>37628.299999999988</v>
      </c>
      <c r="F62" s="352">
        <v>1500000</v>
      </c>
    </row>
    <row r="63" spans="1:6" s="381" customFormat="1" ht="13.8" x14ac:dyDescent="0.25">
      <c r="A63" s="224" t="s">
        <v>338</v>
      </c>
      <c r="B63" s="353">
        <v>0</v>
      </c>
      <c r="C63" s="353">
        <v>0</v>
      </c>
      <c r="D63" s="394">
        <f t="shared" si="4"/>
        <v>0</v>
      </c>
      <c r="E63" s="395">
        <f t="shared" si="5"/>
        <v>0</v>
      </c>
      <c r="F63" s="352">
        <v>0</v>
      </c>
    </row>
    <row r="64" spans="1:6" s="381" customFormat="1" ht="13.8" x14ac:dyDescent="0.25">
      <c r="A64" s="182" t="s">
        <v>232</v>
      </c>
      <c r="B64" s="353">
        <v>0</v>
      </c>
      <c r="C64" s="353">
        <v>0</v>
      </c>
      <c r="D64" s="394">
        <f t="shared" si="4"/>
        <v>0</v>
      </c>
      <c r="E64" s="395">
        <f t="shared" si="5"/>
        <v>0</v>
      </c>
      <c r="F64" s="352">
        <v>0</v>
      </c>
    </row>
    <row r="65" spans="1:6" s="381" customFormat="1" ht="13.8" x14ac:dyDescent="0.25">
      <c r="A65" s="182" t="s">
        <v>233</v>
      </c>
      <c r="B65" s="353">
        <v>0</v>
      </c>
      <c r="C65" s="353">
        <v>0</v>
      </c>
      <c r="D65" s="394">
        <f t="shared" si="4"/>
        <v>0</v>
      </c>
      <c r="E65" s="395">
        <f t="shared" si="5"/>
        <v>0</v>
      </c>
      <c r="F65" s="352">
        <v>0</v>
      </c>
    </row>
    <row r="66" spans="1:6" s="381" customFormat="1" ht="13.8" x14ac:dyDescent="0.25">
      <c r="A66" s="182" t="s">
        <v>234</v>
      </c>
      <c r="B66" s="353">
        <v>0</v>
      </c>
      <c r="C66" s="353">
        <v>0</v>
      </c>
      <c r="D66" s="394">
        <f t="shared" si="4"/>
        <v>0</v>
      </c>
      <c r="E66" s="395">
        <f t="shared" si="5"/>
        <v>0</v>
      </c>
      <c r="F66" s="352">
        <v>0</v>
      </c>
    </row>
    <row r="67" spans="1:6" s="381" customFormat="1" ht="13.8" x14ac:dyDescent="0.25">
      <c r="A67" s="224" t="s">
        <v>339</v>
      </c>
      <c r="B67" s="353">
        <v>0</v>
      </c>
      <c r="C67" s="353">
        <v>0</v>
      </c>
      <c r="D67" s="394">
        <f t="shared" si="4"/>
        <v>0</v>
      </c>
      <c r="E67" s="395">
        <f t="shared" si="5"/>
        <v>0</v>
      </c>
      <c r="F67" s="352">
        <v>0</v>
      </c>
    </row>
    <row r="68" spans="1:6" s="381" customFormat="1" ht="13.8" x14ac:dyDescent="0.25">
      <c r="A68" s="182" t="s">
        <v>340</v>
      </c>
      <c r="B68" s="353">
        <v>0</v>
      </c>
      <c r="C68" s="353">
        <v>0</v>
      </c>
      <c r="D68" s="394">
        <f t="shared" si="4"/>
        <v>619432.58333333337</v>
      </c>
      <c r="E68" s="395">
        <f t="shared" si="5"/>
        <v>-619432.58333333337</v>
      </c>
      <c r="F68" s="352">
        <v>7433191</v>
      </c>
    </row>
    <row r="69" spans="1:6" x14ac:dyDescent="0.3">
      <c r="A69" s="393"/>
      <c r="B69" s="353"/>
      <c r="C69" s="353"/>
      <c r="D69" s="394"/>
      <c r="E69" s="353"/>
      <c r="F69" s="352"/>
    </row>
    <row r="70" spans="1:6" x14ac:dyDescent="0.3">
      <c r="A70" s="402" t="s">
        <v>154</v>
      </c>
      <c r="B70" s="403">
        <f>B39+B42+B43+B44+B45+B46+B48+B47+B49+B50+B51+B52+B54+B53-B57-B58-B59-B60-B61-B63-B65-B67-B62-B64-B66-B68</f>
        <v>187412.4700000002</v>
      </c>
      <c r="C70" s="403">
        <f>C39+C42+C43+C44+C45+C46+C48+C47+C49+C50+C51+C52+C54+C53-C57-C58-C59-C60-C61-C63-C65-C67-C62-C64-C66-C68</f>
        <v>1958829.7800000019</v>
      </c>
      <c r="D70" s="403">
        <f>D39+D42+D43+D44+D45+D46+D48+D47+D49+D50+D51+D52+D54+D53-D57-D58-D59-D60-D61-D63-D65-D67-D62-D64-D66-D68</f>
        <v>696854.1666666664</v>
      </c>
      <c r="E70" s="403">
        <f>E39+E42+E43+E44+E45+E46+E48+E47+E49+E50+E51+E52+E54+E53-E57-E58-E59-E60-E61-E63-E65-E67-E62-E64-E66-E68</f>
        <v>1261975.6133333342</v>
      </c>
      <c r="F70" s="404"/>
    </row>
    <row r="73" spans="1:6" x14ac:dyDescent="0.3">
      <c r="A73" s="405"/>
    </row>
    <row r="74" spans="1:6" x14ac:dyDescent="0.3">
      <c r="A74" s="405"/>
    </row>
    <row r="75" spans="1:6" x14ac:dyDescent="0.3">
      <c r="A75" s="405"/>
    </row>
    <row r="76" spans="1:6" x14ac:dyDescent="0.3">
      <c r="A76" s="405"/>
    </row>
    <row r="77" spans="1:6" x14ac:dyDescent="0.3">
      <c r="A77" s="405"/>
    </row>
  </sheetData>
  <pageMargins left="0.2" right="0.2" top="0.75" bottom="0.2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zoomScaleNormal="100" workbookViewId="0">
      <selection activeCell="C15" sqref="C15:H15"/>
    </sheetView>
  </sheetViews>
  <sheetFormatPr defaultColWidth="9.109375" defaultRowHeight="13.2" x14ac:dyDescent="0.25"/>
  <cols>
    <col min="1" max="3" width="9.109375" style="230"/>
    <col min="4" max="4" width="15" style="230" customWidth="1"/>
    <col min="5" max="5" width="11.44140625" style="230" bestFit="1" customWidth="1"/>
    <col min="6" max="6" width="29.5546875" style="230" bestFit="1" customWidth="1"/>
    <col min="7" max="16384" width="9.109375" style="230"/>
  </cols>
  <sheetData>
    <row r="4" spans="1:5" x14ac:dyDescent="0.25">
      <c r="C4" s="231" t="s">
        <v>239</v>
      </c>
    </row>
    <row r="6" spans="1:5" x14ac:dyDescent="0.25">
      <c r="A6" s="232" t="s">
        <v>240</v>
      </c>
      <c r="E6" s="233"/>
    </row>
    <row r="7" spans="1:5" x14ac:dyDescent="0.25">
      <c r="A7" s="234" t="s">
        <v>344</v>
      </c>
      <c r="E7" s="233">
        <v>100000</v>
      </c>
    </row>
    <row r="8" spans="1:5" x14ac:dyDescent="0.25">
      <c r="A8" s="234" t="s">
        <v>357</v>
      </c>
      <c r="E8" s="233">
        <v>20000</v>
      </c>
    </row>
    <row r="9" spans="1:5" x14ac:dyDescent="0.25">
      <c r="E9" s="233"/>
    </row>
    <row r="10" spans="1:5" x14ac:dyDescent="0.25">
      <c r="A10" s="232" t="s">
        <v>241</v>
      </c>
      <c r="E10" s="233"/>
    </row>
    <row r="11" spans="1:5" x14ac:dyDescent="0.25">
      <c r="A11" s="234" t="s">
        <v>242</v>
      </c>
      <c r="E11" s="233">
        <v>15696</v>
      </c>
    </row>
    <row r="12" spans="1:5" x14ac:dyDescent="0.25">
      <c r="A12" s="234" t="s">
        <v>243</v>
      </c>
      <c r="E12" s="233">
        <v>15000</v>
      </c>
    </row>
    <row r="13" spans="1:5" x14ac:dyDescent="0.25">
      <c r="A13" s="234" t="s">
        <v>244</v>
      </c>
      <c r="E13" s="233">
        <v>15000</v>
      </c>
    </row>
    <row r="14" spans="1:5" x14ac:dyDescent="0.25">
      <c r="E14" s="233"/>
    </row>
    <row r="15" spans="1:5" x14ac:dyDescent="0.25">
      <c r="A15" s="232" t="s">
        <v>245</v>
      </c>
      <c r="E15" s="233"/>
    </row>
    <row r="16" spans="1:5" x14ac:dyDescent="0.25">
      <c r="A16" s="234" t="s">
        <v>246</v>
      </c>
      <c r="E16" s="233">
        <v>71000</v>
      </c>
    </row>
    <row r="17" spans="1:6" x14ac:dyDescent="0.25">
      <c r="E17" s="233"/>
    </row>
    <row r="18" spans="1:6" x14ac:dyDescent="0.25">
      <c r="A18" s="232" t="s">
        <v>247</v>
      </c>
      <c r="E18" s="233"/>
    </row>
    <row r="19" spans="1:6" x14ac:dyDescent="0.25">
      <c r="A19" s="234" t="s">
        <v>248</v>
      </c>
      <c r="E19" s="416">
        <v>474945.1</v>
      </c>
    </row>
    <row r="20" spans="1:6" x14ac:dyDescent="0.25">
      <c r="A20" s="234" t="s">
        <v>355</v>
      </c>
      <c r="E20" s="416">
        <v>35220</v>
      </c>
    </row>
    <row r="21" spans="1:6" x14ac:dyDescent="0.25">
      <c r="A21" s="234" t="s">
        <v>249</v>
      </c>
      <c r="E21" s="233">
        <v>8000</v>
      </c>
    </row>
    <row r="22" spans="1:6" x14ac:dyDescent="0.25">
      <c r="A22" s="234" t="s">
        <v>124</v>
      </c>
      <c r="E22" s="233"/>
    </row>
    <row r="23" spans="1:6" x14ac:dyDescent="0.25">
      <c r="A23" s="232" t="s">
        <v>250</v>
      </c>
      <c r="E23" s="233"/>
    </row>
    <row r="24" spans="1:6" x14ac:dyDescent="0.25">
      <c r="A24" s="234" t="s">
        <v>251</v>
      </c>
      <c r="E24" s="233">
        <v>30000</v>
      </c>
    </row>
    <row r="25" spans="1:6" x14ac:dyDescent="0.25">
      <c r="E25" s="233"/>
    </row>
    <row r="26" spans="1:6" x14ac:dyDescent="0.25">
      <c r="A26" s="232" t="s">
        <v>252</v>
      </c>
      <c r="E26" s="233"/>
    </row>
    <row r="27" spans="1:6" x14ac:dyDescent="0.25">
      <c r="A27" s="234" t="s">
        <v>253</v>
      </c>
      <c r="E27" s="233">
        <v>10000</v>
      </c>
    </row>
    <row r="28" spans="1:6" x14ac:dyDescent="0.25">
      <c r="A28" s="234" t="s">
        <v>254</v>
      </c>
      <c r="E28" s="233">
        <v>18131</v>
      </c>
      <c r="F28" s="234" t="s">
        <v>255</v>
      </c>
    </row>
    <row r="29" spans="1:6" x14ac:dyDescent="0.25">
      <c r="E29" s="233"/>
    </row>
    <row r="30" spans="1:6" x14ac:dyDescent="0.25">
      <c r="A30" s="232" t="s">
        <v>256</v>
      </c>
      <c r="E30" s="233"/>
    </row>
    <row r="31" spans="1:6" x14ac:dyDescent="0.25">
      <c r="A31" s="234" t="s">
        <v>257</v>
      </c>
      <c r="E31" s="233">
        <v>50000</v>
      </c>
    </row>
    <row r="32" spans="1:6" x14ac:dyDescent="0.25">
      <c r="A32" s="234" t="s">
        <v>258</v>
      </c>
      <c r="E32" s="233">
        <v>18000</v>
      </c>
    </row>
    <row r="33" spans="4:5" x14ac:dyDescent="0.25">
      <c r="E33" s="233"/>
    </row>
    <row r="34" spans="4:5" x14ac:dyDescent="0.25">
      <c r="D34" s="234" t="s">
        <v>79</v>
      </c>
      <c r="E34" s="235">
        <f>SUM(E7:E33)</f>
        <v>880992.1</v>
      </c>
    </row>
    <row r="35" spans="4:5" x14ac:dyDescent="0.25">
      <c r="E35" s="2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E22"/>
  <sheetViews>
    <sheetView zoomScaleNormal="100" workbookViewId="0">
      <selection activeCell="C15" sqref="C15:H15"/>
    </sheetView>
  </sheetViews>
  <sheetFormatPr defaultColWidth="9.109375" defaultRowHeight="13.2" x14ac:dyDescent="0.25"/>
  <cols>
    <col min="1" max="1" width="9.109375" style="230"/>
    <col min="2" max="2" width="83.109375" style="230" bestFit="1" customWidth="1"/>
    <col min="3" max="3" width="10.109375" style="230" bestFit="1" customWidth="1"/>
    <col min="4" max="4" width="11.109375" style="230" bestFit="1" customWidth="1"/>
    <col min="5" max="16384" width="9.109375" style="230"/>
  </cols>
  <sheetData>
    <row r="6" spans="1:5" x14ac:dyDescent="0.25">
      <c r="A6" s="438" t="s">
        <v>296</v>
      </c>
      <c r="B6" s="438"/>
      <c r="C6" s="438"/>
      <c r="D6" s="438"/>
      <c r="E6" s="362"/>
    </row>
    <row r="7" spans="1:5" x14ac:dyDescent="0.25">
      <c r="A7" s="362"/>
      <c r="B7" s="362"/>
      <c r="C7" s="362"/>
      <c r="D7" s="362"/>
      <c r="E7" s="362"/>
    </row>
    <row r="8" spans="1:5" x14ac:dyDescent="0.25">
      <c r="A8" s="236" t="s">
        <v>260</v>
      </c>
      <c r="B8" s="237"/>
      <c r="C8" s="437" t="s">
        <v>9</v>
      </c>
    </row>
    <row r="9" spans="1:5" x14ac:dyDescent="0.25">
      <c r="A9" s="238" t="s">
        <v>75</v>
      </c>
      <c r="B9" s="239"/>
      <c r="C9" s="437"/>
    </row>
    <row r="10" spans="1:5" x14ac:dyDescent="0.25">
      <c r="A10" s="239"/>
      <c r="B10" s="239" t="s">
        <v>345</v>
      </c>
      <c r="C10" s="240">
        <v>135000</v>
      </c>
    </row>
    <row r="11" spans="1:5" x14ac:dyDescent="0.25">
      <c r="A11" s="239"/>
      <c r="B11" s="239" t="s">
        <v>346</v>
      </c>
      <c r="C11" s="240">
        <v>125000</v>
      </c>
      <c r="D11" s="234" t="s">
        <v>263</v>
      </c>
    </row>
    <row r="12" spans="1:5" x14ac:dyDescent="0.25">
      <c r="A12" s="239"/>
      <c r="B12" s="239" t="s">
        <v>264</v>
      </c>
      <c r="C12" s="240">
        <v>35000</v>
      </c>
    </row>
    <row r="13" spans="1:5" x14ac:dyDescent="0.25">
      <c r="A13" s="239"/>
      <c r="B13" s="239"/>
      <c r="C13" s="240"/>
    </row>
    <row r="14" spans="1:5" x14ac:dyDescent="0.25">
      <c r="A14" s="238" t="s">
        <v>73</v>
      </c>
      <c r="B14" s="239"/>
      <c r="C14" s="240"/>
    </row>
    <row r="15" spans="1:5" x14ac:dyDescent="0.25">
      <c r="A15" s="239"/>
      <c r="B15" s="239" t="s">
        <v>265</v>
      </c>
      <c r="C15" s="240">
        <v>50000</v>
      </c>
    </row>
    <row r="16" spans="1:5" x14ac:dyDescent="0.25">
      <c r="A16" s="239"/>
      <c r="B16" s="239"/>
      <c r="C16" s="240"/>
    </row>
    <row r="17" spans="1:3" x14ac:dyDescent="0.25">
      <c r="A17" s="239"/>
      <c r="B17" s="341" t="s">
        <v>79</v>
      </c>
      <c r="C17" s="240">
        <f>SUM(C10:C15)</f>
        <v>345000</v>
      </c>
    </row>
    <row r="18" spans="1:3" x14ac:dyDescent="0.25">
      <c r="A18" s="239"/>
      <c r="B18" s="239"/>
      <c r="C18" s="240"/>
    </row>
    <row r="19" spans="1:3" x14ac:dyDescent="0.25">
      <c r="A19" s="241"/>
      <c r="B19" s="241"/>
      <c r="C19" s="242"/>
    </row>
    <row r="20" spans="1:3" x14ac:dyDescent="0.25">
      <c r="A20" s="234"/>
      <c r="B20" s="341" t="s">
        <v>266</v>
      </c>
      <c r="C20" s="242">
        <f>'GF Capital Exp by Depart'!E34</f>
        <v>880992.1</v>
      </c>
    </row>
    <row r="21" spans="1:3" x14ac:dyDescent="0.25">
      <c r="A21" s="234"/>
      <c r="B21" s="234"/>
      <c r="C21" s="243"/>
    </row>
    <row r="22" spans="1:3" x14ac:dyDescent="0.25">
      <c r="A22" s="234"/>
      <c r="B22" s="363" t="s">
        <v>267</v>
      </c>
      <c r="C22" s="235">
        <f>SUM(C17:C21)</f>
        <v>1225992.1000000001</v>
      </c>
    </row>
  </sheetData>
  <mergeCells count="2">
    <mergeCell ref="C8:C9"/>
    <mergeCell ref="A6:D6"/>
  </mergeCells>
  <pageMargins left="0.2" right="0.2" top="0.75" bottom="0.5" header="0.3" footer="0.3"/>
  <pageSetup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5" workbookViewId="0">
      <selection activeCell="C15" sqref="C15:H15"/>
    </sheetView>
  </sheetViews>
  <sheetFormatPr defaultRowHeight="14.4" x14ac:dyDescent="0.3"/>
  <cols>
    <col min="9" max="9" width="17.33203125" bestFit="1" customWidth="1"/>
  </cols>
  <sheetData>
    <row r="2" spans="1:9" x14ac:dyDescent="0.3">
      <c r="A2" s="347"/>
      <c r="B2" s="347"/>
      <c r="C2" s="347"/>
      <c r="D2" s="347"/>
      <c r="E2" s="347"/>
      <c r="F2" s="347"/>
      <c r="G2" s="347"/>
      <c r="H2" s="347"/>
      <c r="I2" s="347"/>
    </row>
    <row r="3" spans="1:9" x14ac:dyDescent="0.3">
      <c r="A3" s="347"/>
      <c r="B3" s="347"/>
      <c r="C3" s="347"/>
      <c r="D3" s="347"/>
      <c r="E3" s="347"/>
      <c r="F3" s="347"/>
      <c r="G3" s="347"/>
      <c r="H3" s="347"/>
      <c r="I3" s="347"/>
    </row>
    <row r="4" spans="1:9" x14ac:dyDescent="0.3">
      <c r="A4" s="347"/>
      <c r="B4" s="347"/>
      <c r="C4" s="347"/>
      <c r="D4" s="347"/>
      <c r="E4" s="347"/>
      <c r="F4" s="347"/>
      <c r="G4" s="347"/>
      <c r="H4" s="347"/>
      <c r="I4" s="347"/>
    </row>
    <row r="8" spans="1:9" ht="24.6" x14ac:dyDescent="0.4">
      <c r="C8" s="173" t="s">
        <v>141</v>
      </c>
    </row>
    <row r="12" spans="1:9" ht="24.6" x14ac:dyDescent="0.4">
      <c r="C12" s="173"/>
      <c r="D12" s="173"/>
      <c r="E12" s="173"/>
      <c r="F12" s="173"/>
      <c r="G12" s="173"/>
    </row>
    <row r="13" spans="1:9" ht="24.6" x14ac:dyDescent="0.4">
      <c r="C13" s="173"/>
      <c r="D13" s="173"/>
      <c r="E13" s="173"/>
      <c r="F13" s="173"/>
      <c r="G13" s="173"/>
    </row>
    <row r="14" spans="1:9" ht="24.6" x14ac:dyDescent="0.4">
      <c r="C14" s="173"/>
      <c r="D14" s="173"/>
      <c r="E14" s="173"/>
      <c r="F14" s="173"/>
      <c r="G14" s="173"/>
    </row>
    <row r="15" spans="1:9" ht="24.6" x14ac:dyDescent="0.4">
      <c r="C15" s="435" t="s">
        <v>358</v>
      </c>
      <c r="D15" s="435"/>
      <c r="E15" s="435"/>
      <c r="F15" s="435"/>
      <c r="G15" s="435"/>
      <c r="H15" s="435"/>
    </row>
    <row r="16" spans="1:9" ht="24.6" x14ac:dyDescent="0.4">
      <c r="C16" s="173"/>
      <c r="D16" s="173"/>
      <c r="E16" s="173"/>
      <c r="F16" s="173"/>
      <c r="G16" s="173"/>
    </row>
    <row r="17" spans="1:9" ht="24.6" x14ac:dyDescent="0.4">
      <c r="C17" s="173"/>
      <c r="D17" s="173"/>
      <c r="E17" s="173"/>
      <c r="F17" s="173"/>
      <c r="G17" s="173"/>
    </row>
    <row r="21" spans="1:9" ht="24.6" x14ac:dyDescent="0.4">
      <c r="A21" s="435" t="s">
        <v>207</v>
      </c>
      <c r="B21" s="435"/>
      <c r="C21" s="435"/>
      <c r="D21" s="435"/>
      <c r="E21" s="435"/>
      <c r="F21" s="435"/>
      <c r="G21" s="435"/>
      <c r="H21" s="435"/>
      <c r="I21" s="435"/>
    </row>
    <row r="22" spans="1:9" ht="24.6" x14ac:dyDescent="0.4">
      <c r="C22" s="173"/>
      <c r="D22" s="173"/>
      <c r="E22" s="173"/>
    </row>
    <row r="31" spans="1:9" x14ac:dyDescent="0.3">
      <c r="A31" s="347"/>
      <c r="B31" s="347"/>
      <c r="C31" s="347"/>
      <c r="D31" s="347"/>
      <c r="E31" s="347"/>
      <c r="F31" s="347"/>
      <c r="G31" s="347"/>
      <c r="H31" s="347"/>
      <c r="I31" s="347"/>
    </row>
    <row r="32" spans="1:9" x14ac:dyDescent="0.3">
      <c r="A32" s="347"/>
      <c r="B32" s="347"/>
      <c r="C32" s="347"/>
      <c r="D32" s="347"/>
      <c r="E32" s="347"/>
      <c r="F32" s="347"/>
      <c r="G32" s="347"/>
      <c r="H32" s="347"/>
      <c r="I32" s="347"/>
    </row>
    <row r="33" spans="1:9" x14ac:dyDescent="0.3">
      <c r="A33" s="347"/>
      <c r="B33" s="347"/>
      <c r="C33" s="347"/>
      <c r="D33" s="347"/>
      <c r="E33" s="347"/>
      <c r="F33" s="347"/>
      <c r="G33" s="347"/>
      <c r="H33" s="347"/>
      <c r="I33" s="347"/>
    </row>
    <row r="35" spans="1:9" x14ac:dyDescent="0.3">
      <c r="A35" s="175"/>
      <c r="B35" s="175"/>
      <c r="C35" s="175"/>
      <c r="D35" s="175"/>
    </row>
    <row r="36" spans="1:9" x14ac:dyDescent="0.3">
      <c r="A36" t="s">
        <v>139</v>
      </c>
    </row>
    <row r="37" spans="1:9" x14ac:dyDescent="0.3">
      <c r="I37" s="174">
        <f ca="1">TODAY()-1</f>
        <v>44417</v>
      </c>
    </row>
    <row r="38" spans="1:9" x14ac:dyDescent="0.3">
      <c r="A38" s="175"/>
      <c r="B38" s="175"/>
      <c r="C38" s="175"/>
      <c r="D38" s="175"/>
    </row>
    <row r="39" spans="1:9" x14ac:dyDescent="0.3">
      <c r="A39" t="s">
        <v>140</v>
      </c>
    </row>
  </sheetData>
  <mergeCells count="2">
    <mergeCell ref="C15:H15"/>
    <mergeCell ref="A21:I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C15" sqref="C15:H15"/>
    </sheetView>
  </sheetViews>
  <sheetFormatPr defaultRowHeight="14.4" x14ac:dyDescent="0.3"/>
  <cols>
    <col min="1" max="1" width="43.5546875" bestFit="1" customWidth="1"/>
    <col min="2" max="2" width="12.44140625" hidden="1" customWidth="1"/>
    <col min="3" max="3" width="16.6640625" bestFit="1" customWidth="1"/>
    <col min="4" max="4" width="12.44140625" hidden="1" customWidth="1"/>
    <col min="5" max="5" width="16.6640625" bestFit="1" customWidth="1"/>
    <col min="6" max="6" width="14.33203125" hidden="1" customWidth="1"/>
    <col min="7" max="7" width="15.6640625" hidden="1" customWidth="1"/>
    <col min="8" max="8" width="14.88671875" bestFit="1" customWidth="1"/>
    <col min="9" max="9" width="12.88671875" bestFit="1" customWidth="1"/>
  </cols>
  <sheetData>
    <row r="1" spans="1:9" x14ac:dyDescent="0.3">
      <c r="A1" s="351" t="s">
        <v>155</v>
      </c>
    </row>
    <row r="4" spans="1:9" x14ac:dyDescent="0.3">
      <c r="A4" s="7" t="s">
        <v>164</v>
      </c>
      <c r="B4" s="7"/>
      <c r="C4" s="223">
        <v>11676123.359999999</v>
      </c>
      <c r="D4" s="7"/>
      <c r="E4" s="223">
        <v>10402167.939999999</v>
      </c>
      <c r="F4" s="7"/>
      <c r="G4" s="7"/>
      <c r="H4" s="223">
        <f>15606587.81-2481634.95</f>
        <v>13124952.859999999</v>
      </c>
    </row>
    <row r="6" spans="1:9" x14ac:dyDescent="0.3">
      <c r="A6" s="14"/>
      <c r="B6" s="213" t="s">
        <v>142</v>
      </c>
      <c r="C6" s="214" t="s">
        <v>156</v>
      </c>
      <c r="D6" s="213" t="s">
        <v>144</v>
      </c>
      <c r="E6" s="214" t="s">
        <v>157</v>
      </c>
      <c r="F6" s="214" t="s">
        <v>143</v>
      </c>
      <c r="G6" s="213" t="s">
        <v>158</v>
      </c>
      <c r="H6" s="215" t="s">
        <v>159</v>
      </c>
      <c r="I6" s="216" t="s">
        <v>160</v>
      </c>
    </row>
    <row r="7" spans="1:9" ht="17.399999999999999" x14ac:dyDescent="0.55000000000000004">
      <c r="A7" s="14"/>
      <c r="B7" s="217" t="s">
        <v>145</v>
      </c>
      <c r="C7" s="218" t="s">
        <v>190</v>
      </c>
      <c r="D7" s="217" t="s">
        <v>145</v>
      </c>
      <c r="E7" s="218" t="s">
        <v>190</v>
      </c>
      <c r="F7" s="219" t="s">
        <v>161</v>
      </c>
      <c r="G7" s="217" t="s">
        <v>162</v>
      </c>
      <c r="H7" s="220" t="s">
        <v>163</v>
      </c>
      <c r="I7" s="221" t="s">
        <v>342</v>
      </c>
    </row>
    <row r="8" spans="1:9" x14ac:dyDescent="0.3">
      <c r="A8" s="180"/>
      <c r="B8" s="201"/>
      <c r="C8" s="202"/>
      <c r="D8" s="201"/>
      <c r="E8" s="203"/>
      <c r="F8" s="203"/>
      <c r="G8" s="201"/>
      <c r="H8" s="204"/>
      <c r="I8" s="205"/>
    </row>
    <row r="9" spans="1:9" x14ac:dyDescent="0.3">
      <c r="A9" s="180" t="s">
        <v>204</v>
      </c>
      <c r="B9" s="201"/>
      <c r="C9" s="202"/>
      <c r="D9" s="206"/>
      <c r="E9" s="207"/>
      <c r="F9" s="202"/>
      <c r="G9" s="181"/>
      <c r="H9" s="204"/>
      <c r="I9" s="208"/>
    </row>
    <row r="10" spans="1:9" x14ac:dyDescent="0.3">
      <c r="A10" s="182" t="s">
        <v>168</v>
      </c>
      <c r="B10" s="17">
        <v>3635443.38</v>
      </c>
      <c r="C10" s="227">
        <v>3624767.66</v>
      </c>
      <c r="D10" s="201">
        <v>3950403.27</v>
      </c>
      <c r="E10" s="181">
        <v>3950533.97</v>
      </c>
      <c r="F10" s="181">
        <v>3952190.97</v>
      </c>
      <c r="G10" s="181">
        <v>4161350.54</v>
      </c>
      <c r="H10" s="204">
        <v>4214398</v>
      </c>
      <c r="I10" s="208">
        <f>(H10-E10)/E10</f>
        <v>6.679199115961526E-2</v>
      </c>
    </row>
    <row r="11" spans="1:9" x14ac:dyDescent="0.3">
      <c r="A11" s="182" t="s">
        <v>165</v>
      </c>
      <c r="B11" s="201">
        <v>6996138.3499999996</v>
      </c>
      <c r="C11" s="227">
        <v>6991235.3700000001</v>
      </c>
      <c r="D11" s="201">
        <v>7128250.2699999996</v>
      </c>
      <c r="E11" s="181">
        <v>7135600.9000000004</v>
      </c>
      <c r="F11" s="181">
        <v>7135601</v>
      </c>
      <c r="G11" s="181">
        <v>7165208.2400000002</v>
      </c>
      <c r="H11" s="209">
        <v>7023927.6500000004</v>
      </c>
      <c r="I11" s="364">
        <f t="shared" ref="I11:I16" si="0">(H11-E11)/E11</f>
        <v>-1.5650153584122115E-2</v>
      </c>
    </row>
    <row r="12" spans="1:9" x14ac:dyDescent="0.3">
      <c r="A12" s="182" t="s">
        <v>166</v>
      </c>
      <c r="B12" s="201">
        <v>1213893.1399999999</v>
      </c>
      <c r="C12" s="227">
        <v>1212173.46</v>
      </c>
      <c r="D12" s="201">
        <v>1212173.46</v>
      </c>
      <c r="E12" s="181">
        <v>1220716.45</v>
      </c>
      <c r="F12" s="181">
        <v>1220716.45</v>
      </c>
      <c r="G12" s="201">
        <v>1220716.45</v>
      </c>
      <c r="H12" s="209">
        <v>1245363.29</v>
      </c>
      <c r="I12" s="208">
        <f t="shared" si="0"/>
        <v>2.0190470932049849E-2</v>
      </c>
    </row>
    <row r="13" spans="1:9" x14ac:dyDescent="0.3">
      <c r="A13" s="182" t="s">
        <v>167</v>
      </c>
      <c r="B13" s="201">
        <v>695316.97</v>
      </c>
      <c r="C13" s="227">
        <v>698498.97</v>
      </c>
      <c r="D13" s="201">
        <v>959191.75</v>
      </c>
      <c r="E13" s="181">
        <v>972909.98</v>
      </c>
      <c r="F13" s="181">
        <v>972909.98</v>
      </c>
      <c r="G13" s="201">
        <v>1196115.6299999999</v>
      </c>
      <c r="H13" s="209">
        <v>1484749.85</v>
      </c>
      <c r="I13" s="208">
        <f t="shared" si="0"/>
        <v>0.52609170480500167</v>
      </c>
    </row>
    <row r="14" spans="1:9" x14ac:dyDescent="0.3">
      <c r="A14" s="182" t="s">
        <v>189</v>
      </c>
      <c r="B14" s="201">
        <v>247688.33</v>
      </c>
      <c r="C14" s="227">
        <v>250095</v>
      </c>
      <c r="D14" s="201">
        <v>285089.78000000003</v>
      </c>
      <c r="E14" s="181">
        <v>296300</v>
      </c>
      <c r="F14" s="181">
        <v>296300</v>
      </c>
      <c r="G14" s="201">
        <v>299028.90999999997</v>
      </c>
      <c r="H14" s="209">
        <v>202465.89</v>
      </c>
      <c r="I14" s="364">
        <f t="shared" si="0"/>
        <v>-0.31668616267296656</v>
      </c>
    </row>
    <row r="15" spans="1:9" x14ac:dyDescent="0.3">
      <c r="A15" s="182" t="s">
        <v>169</v>
      </c>
      <c r="B15" s="201">
        <v>152745</v>
      </c>
      <c r="C15" s="225">
        <v>155720</v>
      </c>
      <c r="D15" s="201">
        <v>149945</v>
      </c>
      <c r="E15" s="181">
        <f>60841.4+91315.36</f>
        <v>152156.76</v>
      </c>
      <c r="F15" s="225">
        <v>152157</v>
      </c>
      <c r="G15" s="201">
        <v>149371.25</v>
      </c>
      <c r="H15" s="209">
        <v>148472.5</v>
      </c>
      <c r="I15" s="364">
        <f t="shared" si="0"/>
        <v>-2.4213580783397394E-2</v>
      </c>
    </row>
    <row r="16" spans="1:9" x14ac:dyDescent="0.3">
      <c r="A16" s="182" t="s">
        <v>170</v>
      </c>
      <c r="B16" s="201">
        <v>80957.5</v>
      </c>
      <c r="C16" s="225">
        <f>30246.53+49784.25</f>
        <v>80030.78</v>
      </c>
      <c r="D16" s="201">
        <v>83767.5</v>
      </c>
      <c r="E16" s="181">
        <f>50647.39+31086.71</f>
        <v>81734.100000000006</v>
      </c>
      <c r="F16" s="225">
        <v>81734</v>
      </c>
      <c r="G16" s="181">
        <v>81416.25</v>
      </c>
      <c r="H16" s="209">
        <v>83897.5</v>
      </c>
      <c r="I16" s="208">
        <f t="shared" si="0"/>
        <v>2.6468756614436251E-2</v>
      </c>
    </row>
    <row r="17" spans="1:9" x14ac:dyDescent="0.3">
      <c r="A17" s="182"/>
      <c r="B17" s="201"/>
      <c r="C17" s="225"/>
      <c r="D17" s="201"/>
      <c r="E17" s="181"/>
      <c r="F17" s="225"/>
      <c r="G17" s="181"/>
      <c r="H17" s="209"/>
      <c r="I17" s="208"/>
    </row>
    <row r="18" spans="1:9" x14ac:dyDescent="0.3">
      <c r="A18" s="180" t="s">
        <v>152</v>
      </c>
      <c r="B18" s="201"/>
      <c r="C18" s="225"/>
      <c r="D18" s="201"/>
      <c r="E18" s="181"/>
      <c r="F18" s="225"/>
      <c r="G18" s="181"/>
      <c r="H18" s="209"/>
      <c r="I18" s="208"/>
    </row>
    <row r="19" spans="1:9" x14ac:dyDescent="0.3">
      <c r="A19" s="182" t="s">
        <v>203</v>
      </c>
      <c r="B19" s="201">
        <v>2089638.5</v>
      </c>
      <c r="C19" s="225">
        <f>B19</f>
        <v>2089638.5</v>
      </c>
      <c r="D19" s="201">
        <v>2214943.75</v>
      </c>
      <c r="E19" s="181">
        <f>D19</f>
        <v>2214943.75</v>
      </c>
      <c r="F19" s="225"/>
      <c r="G19" s="201">
        <v>2238541.19</v>
      </c>
      <c r="H19" s="209">
        <v>2233605</v>
      </c>
      <c r="I19" s="208">
        <f t="shared" ref="I19" si="1">(G19-D19)/D19</f>
        <v>1.065374233544303E-2</v>
      </c>
    </row>
    <row r="20" spans="1:9" x14ac:dyDescent="0.3">
      <c r="A20" s="182"/>
      <c r="B20" s="201"/>
      <c r="C20" s="225"/>
      <c r="D20" s="201"/>
      <c r="E20" s="181"/>
      <c r="F20" s="225"/>
      <c r="G20" s="201"/>
      <c r="H20" s="204"/>
      <c r="I20" s="208"/>
    </row>
    <row r="21" spans="1:9" x14ac:dyDescent="0.3">
      <c r="A21" s="182"/>
      <c r="B21" s="201"/>
      <c r="C21" s="225"/>
      <c r="D21" s="201"/>
      <c r="E21" s="181"/>
      <c r="F21" s="225"/>
      <c r="G21" s="201"/>
      <c r="H21" s="204"/>
      <c r="I21" s="208"/>
    </row>
    <row r="22" spans="1:9" x14ac:dyDescent="0.3">
      <c r="A22" s="406" t="s">
        <v>187</v>
      </c>
      <c r="B22" s="407">
        <f>SUM(B9:B21)</f>
        <v>15111821.170000002</v>
      </c>
      <c r="C22" s="408">
        <f t="shared" ref="C22:G22" si="2">SUM(C9:C21)</f>
        <v>15102159.740000002</v>
      </c>
      <c r="D22" s="407">
        <f t="shared" si="2"/>
        <v>15983764.779999999</v>
      </c>
      <c r="E22" s="408">
        <f t="shared" si="2"/>
        <v>16024895.91</v>
      </c>
      <c r="F22" s="408">
        <f t="shared" si="2"/>
        <v>13811609.4</v>
      </c>
      <c r="G22" s="407">
        <f t="shared" si="2"/>
        <v>16511748.459999999</v>
      </c>
      <c r="H22" s="409">
        <f>SUM(H9:H21)</f>
        <v>16636879.680000002</v>
      </c>
      <c r="I22" s="208">
        <f t="shared" ref="I22" si="3">(H22-E22)/E22</f>
        <v>3.8189562879975138E-2</v>
      </c>
    </row>
    <row r="23" spans="1:9" x14ac:dyDescent="0.3">
      <c r="A23" s="182"/>
      <c r="B23" s="201"/>
      <c r="C23" s="225"/>
      <c r="D23" s="201"/>
      <c r="E23" s="181"/>
      <c r="F23" s="181"/>
      <c r="G23" s="201"/>
      <c r="H23" s="204"/>
      <c r="I23" s="208"/>
    </row>
    <row r="24" spans="1:9" x14ac:dyDescent="0.3">
      <c r="A24" s="180" t="s">
        <v>205</v>
      </c>
      <c r="B24" s="201"/>
      <c r="C24" s="225"/>
      <c r="D24" s="201"/>
      <c r="E24" s="181"/>
      <c r="F24" s="181"/>
      <c r="G24" s="201"/>
      <c r="H24" s="204"/>
      <c r="I24" s="208"/>
    </row>
    <row r="25" spans="1:9" x14ac:dyDescent="0.3">
      <c r="A25" s="182" t="s">
        <v>192</v>
      </c>
      <c r="B25" s="225">
        <f>'[2]FY 2018'!$I$5+'[2]FY 2018'!$I$6+'[2]FY 2018'!$I$7</f>
        <v>2089638.5</v>
      </c>
      <c r="C25" s="225">
        <f>'[2]FY 2018'!$I$5+'[2]FY 2018'!$I$6+'[2]FY 2018'!$I$7</f>
        <v>2089638.5</v>
      </c>
      <c r="D25" s="181">
        <f>'[2]FY 2019'!$I$8</f>
        <v>2214943.75</v>
      </c>
      <c r="E25" s="181">
        <f>'[2]FY 2019'!$I$8</f>
        <v>2214943.75</v>
      </c>
      <c r="F25" s="225">
        <f>'[2]FY 2019'!$G$8+'[2]FY 2020'!$E$9</f>
        <v>2275156.44</v>
      </c>
      <c r="G25" s="225">
        <v>2238541.19</v>
      </c>
      <c r="H25" s="209">
        <v>2233605</v>
      </c>
      <c r="I25" s="208">
        <f t="shared" ref="I25:I35" si="4">(H25-E25)/E25</f>
        <v>8.4251575237520148E-3</v>
      </c>
    </row>
    <row r="26" spans="1:9" x14ac:dyDescent="0.3">
      <c r="A26" s="182" t="s">
        <v>193</v>
      </c>
      <c r="B26" s="225">
        <f>'[2]FY 2018'!$I$8+'[2]FY 2018'!$I$9+'[2]FY 2018'!$I$10+'[2]FY 2018'!$I$11+'[2]FY 2018'!$I$12+'[2]FY 2018'!$I$13+'[2]FY 2018'!$I$14+'[2]FY 2018'!$I$15+'[2]FY 2018'!$I$16+'[2]FY 2018'!$I$17+'[2]FY 2018'!$I$18+'[2]FY 2018'!$I$19+'[2]FY 2018'!$I$20+'[2]FY 2018'!$I$21+'[2]FY 2018'!$I$22</f>
        <v>8305618.7799999993</v>
      </c>
      <c r="C26" s="225">
        <f>'[2]FY 2018'!$I$8+'[2]FY 2018'!$I$9+'[2]FY 2018'!$I$10+'[2]FY 2018'!$I$11+'[2]FY 2018'!$I$12+'[2]FY 2018'!$I$13+'[2]FY 2018'!$I$14+'[2]FY 2018'!$I$15+'[2]FY 2018'!$I$16+'[2]FY 2018'!$I$17+'[2]FY 2018'!$I$18+'[2]FY 2018'!$I$19+'[2]FY 2018'!$I$20+'[2]FY 2018'!$I$21+'[2]FY 2018'!$I$22</f>
        <v>8305618.7799999993</v>
      </c>
      <c r="D26" s="181">
        <f>'[2]FY 2019'!$I$25</f>
        <v>8339118.7799999993</v>
      </c>
      <c r="E26" s="181">
        <f>'[2]FY 2019'!$I$25</f>
        <v>8339118.7799999993</v>
      </c>
      <c r="F26" s="225">
        <f>'[2]FY 2019'!$G$25+'[2]FY 2020'!$E$27</f>
        <v>8481438.2899999991</v>
      </c>
      <c r="G26" s="225">
        <v>8373716.4100000001</v>
      </c>
      <c r="H26" s="209">
        <v>7787262.5199999996</v>
      </c>
      <c r="I26" s="364">
        <f t="shared" si="4"/>
        <v>-6.6176807713008712E-2</v>
      </c>
    </row>
    <row r="27" spans="1:9" x14ac:dyDescent="0.3">
      <c r="A27" s="182" t="s">
        <v>194</v>
      </c>
      <c r="B27" s="225">
        <f>'[2]FY 2018'!$I$23+'[2]FY 2018'!$I$24+'[2]FY 2018'!$I$25+'[2]FY 2018'!$I$26</f>
        <v>1263753.76</v>
      </c>
      <c r="C27" s="225">
        <f>'[2]FY 2018'!$I$23+'[2]FY 2018'!$I$24+'[2]FY 2018'!$I$25+'[2]FY 2018'!$I$26</f>
        <v>1263753.76</v>
      </c>
      <c r="D27" s="181">
        <f>'[2]FY 2019'!$I$30</f>
        <v>1269775.01</v>
      </c>
      <c r="E27" s="181">
        <f>'[2]FY 2019'!$I$30</f>
        <v>1269775.01</v>
      </c>
      <c r="F27" s="225">
        <f>'[2]FY 2019'!$G$30+'[2]FY 2020'!$E$32</f>
        <v>1286906.26</v>
      </c>
      <c r="G27" s="225">
        <v>1273418.76</v>
      </c>
      <c r="H27" s="209">
        <v>1283631.26</v>
      </c>
      <c r="I27" s="208">
        <f t="shared" si="4"/>
        <v>1.0912366278180258E-2</v>
      </c>
    </row>
    <row r="28" spans="1:9" x14ac:dyDescent="0.3">
      <c r="A28" s="182" t="s">
        <v>195</v>
      </c>
      <c r="B28" s="225">
        <f>'[2]FY 2018'!$I$29+'[2]FY 2018'!$I$30+'[2]FY 2018'!$I$31</f>
        <v>592677.63</v>
      </c>
      <c r="C28" s="225">
        <f>'[2]FY 2018'!$I$29+'[2]FY 2018'!$I$30+'[2]FY 2018'!$I$31</f>
        <v>592677.63</v>
      </c>
      <c r="D28" s="181">
        <f>'[2]FY 2019'!$I$39</f>
        <v>836766.26</v>
      </c>
      <c r="E28" s="181">
        <f>'[2]FY 2019'!$I$39</f>
        <v>836766.26</v>
      </c>
      <c r="F28" s="225">
        <f>'[2]FY 2019'!$G$39+'[2]FY 2020'!$E$42</f>
        <v>1095678.76</v>
      </c>
      <c r="G28" s="225">
        <v>1125252.8700000001</v>
      </c>
      <c r="H28" s="209">
        <v>1547825.02</v>
      </c>
      <c r="I28" s="208">
        <f t="shared" si="4"/>
        <v>0.84976987480350841</v>
      </c>
    </row>
    <row r="29" spans="1:9" x14ac:dyDescent="0.3">
      <c r="A29" s="182" t="s">
        <v>196</v>
      </c>
      <c r="B29" s="225">
        <f>'[2]FY 2018'!$I$27</f>
        <v>150195</v>
      </c>
      <c r="C29" s="225">
        <f>'[2]FY 2018'!$I$27</f>
        <v>150195</v>
      </c>
      <c r="D29" s="181">
        <f>'[2]FY 2019'!$I$32</f>
        <v>149945</v>
      </c>
      <c r="E29" s="181">
        <f>'[2]FY 2019'!$I$32</f>
        <v>149945</v>
      </c>
      <c r="F29" s="225">
        <f>'[2]FY 2019'!$G$32+'[2]FY 2020'!$G$34</f>
        <v>54371.25</v>
      </c>
      <c r="G29" s="225">
        <v>149371.25</v>
      </c>
      <c r="H29" s="209">
        <v>148472.5</v>
      </c>
      <c r="I29" s="364">
        <f t="shared" si="4"/>
        <v>-9.8202674313915099E-3</v>
      </c>
    </row>
    <row r="30" spans="1:9" x14ac:dyDescent="0.3">
      <c r="A30" s="182" t="s">
        <v>197</v>
      </c>
      <c r="B30" s="225">
        <f>'[2]FY 2018'!$I$28</f>
        <v>80957.5</v>
      </c>
      <c r="C30" s="225">
        <f>'[2]FY 2018'!$I$28</f>
        <v>80957.5</v>
      </c>
      <c r="D30" s="181">
        <f>'[2]FY 2019'!$I$34</f>
        <v>83767.5</v>
      </c>
      <c r="E30" s="181">
        <f>'[2]FY 2019'!$I$34</f>
        <v>83767.5</v>
      </c>
      <c r="F30" s="225">
        <f>'[2]FY 2019'!$G$34+'[2]FY 2020'!$G$36</f>
        <v>36416.25</v>
      </c>
      <c r="G30" s="225">
        <v>81416.25</v>
      </c>
      <c r="H30" s="209">
        <v>83897.5</v>
      </c>
      <c r="I30" s="208">
        <f t="shared" si="4"/>
        <v>1.5519145253230669E-3</v>
      </c>
    </row>
    <row r="31" spans="1:9" x14ac:dyDescent="0.3">
      <c r="A31" s="182" t="s">
        <v>198</v>
      </c>
      <c r="B31" s="225">
        <v>16252</v>
      </c>
      <c r="C31" s="225">
        <v>16252</v>
      </c>
      <c r="D31" s="181">
        <v>22102</v>
      </c>
      <c r="E31" s="181">
        <v>22102</v>
      </c>
      <c r="F31" s="225">
        <f>14004.5+7647.5</f>
        <v>21652</v>
      </c>
      <c r="G31" s="228">
        <f>F31+2000</f>
        <v>23652</v>
      </c>
      <c r="H31" s="228">
        <f>G31+2000</f>
        <v>25652</v>
      </c>
      <c r="I31" s="208">
        <f t="shared" si="4"/>
        <v>0.16061894851144692</v>
      </c>
    </row>
    <row r="32" spans="1:9" x14ac:dyDescent="0.3">
      <c r="A32" s="182" t="s">
        <v>199</v>
      </c>
      <c r="B32" s="225">
        <f>4271.45+4275.59+4275.59+4275.59</f>
        <v>17098.22</v>
      </c>
      <c r="C32" s="225">
        <f>4271.45+4275.59+4275.59+4275.59</f>
        <v>17098.22</v>
      </c>
      <c r="D32" s="181">
        <f>4402.86+4402.86+4402.87+4402.87</f>
        <v>17611.46</v>
      </c>
      <c r="E32" s="181">
        <f>4402.86+4402.86+4402.87+4402.87</f>
        <v>17611.46</v>
      </c>
      <c r="F32" s="225">
        <f>4402.87+4402.86+4402.86+4507.7+4507.7</f>
        <v>22223.99</v>
      </c>
      <c r="G32" s="228">
        <f t="shared" ref="G32:H35" si="5">F32+2000</f>
        <v>24223.99</v>
      </c>
      <c r="H32" s="228">
        <v>19498.490000000002</v>
      </c>
      <c r="I32" s="208">
        <f t="shared" si="4"/>
        <v>0.10714784577769262</v>
      </c>
    </row>
    <row r="33" spans="1:9" x14ac:dyDescent="0.3">
      <c r="A33" s="182" t="s">
        <v>200</v>
      </c>
      <c r="B33" s="225">
        <f>8230.63+8230.63+8230.61+8222.64</f>
        <v>32914.509999999995</v>
      </c>
      <c r="C33" s="225">
        <f>8230.63+8230.63+8230.61+8222.64</f>
        <v>32914.509999999995</v>
      </c>
      <c r="D33" s="181">
        <f>7911.49+7911.49+7911.48+7911.48</f>
        <v>31645.94</v>
      </c>
      <c r="E33" s="181">
        <f>7911.49+7911.49+7911.48+7911.48</f>
        <v>31645.94</v>
      </c>
      <c r="F33" s="225">
        <f>7911.48+7911.48+7733.85+7733.85</f>
        <v>31290.659999999996</v>
      </c>
      <c r="G33" s="228">
        <f t="shared" si="5"/>
        <v>33290.659999999996</v>
      </c>
      <c r="H33" s="228">
        <f t="shared" si="5"/>
        <v>35290.659999999996</v>
      </c>
      <c r="I33" s="208">
        <f t="shared" si="4"/>
        <v>0.11517180402920557</v>
      </c>
    </row>
    <row r="34" spans="1:9" x14ac:dyDescent="0.3">
      <c r="A34" s="182" t="s">
        <v>201</v>
      </c>
      <c r="B34" s="225">
        <f>1430.7+1430.72+1430.72+1429.33</f>
        <v>5721.47</v>
      </c>
      <c r="C34" s="225">
        <f>1430.7+1430.72+1430.72+1429.33</f>
        <v>5721.47</v>
      </c>
      <c r="D34" s="181">
        <f>1345.48+1345.48+1345.48+1345.48</f>
        <v>5381.92</v>
      </c>
      <c r="E34" s="181">
        <f>1345.48+1345.48+1345.48+1345.48</f>
        <v>5381.92</v>
      </c>
      <c r="F34" s="225">
        <f>1345.48+1345.48+1327.82+1327.82</f>
        <v>5346.5999999999995</v>
      </c>
      <c r="G34" s="228">
        <f t="shared" si="5"/>
        <v>7346.5999999999995</v>
      </c>
      <c r="H34" s="228">
        <f t="shared" si="5"/>
        <v>9346.5999999999985</v>
      </c>
      <c r="I34" s="208">
        <f t="shared" si="4"/>
        <v>0.73666646847221784</v>
      </c>
    </row>
    <row r="35" spans="1:9" x14ac:dyDescent="0.3">
      <c r="A35" s="182" t="s">
        <v>202</v>
      </c>
      <c r="B35" s="225">
        <f>1113.94+1115.02+1115.02+1115.04</f>
        <v>4459.0200000000004</v>
      </c>
      <c r="C35" s="225">
        <f>1113.94+1115.02+1115.02+1115.04</f>
        <v>4459.0200000000004</v>
      </c>
      <c r="D35" s="181">
        <f>1386.31+1386.3+1386.3+1386.3</f>
        <v>5545.21</v>
      </c>
      <c r="E35" s="181">
        <f>1386.31+1386.3+1386.3+1386.3</f>
        <v>5545.21</v>
      </c>
      <c r="F35" s="225">
        <f>1386.3+1386.3+1386.31+1624.59+1624.59</f>
        <v>7408.09</v>
      </c>
      <c r="G35" s="228">
        <f t="shared" si="5"/>
        <v>9408.09</v>
      </c>
      <c r="H35" s="228">
        <f t="shared" si="5"/>
        <v>11408.09</v>
      </c>
      <c r="I35" s="208">
        <f t="shared" si="4"/>
        <v>1.0572872803735116</v>
      </c>
    </row>
    <row r="36" spans="1:9" x14ac:dyDescent="0.3">
      <c r="A36" s="182"/>
      <c r="B36" s="225"/>
      <c r="C36" s="225"/>
      <c r="D36" s="181"/>
      <c r="E36" s="181"/>
      <c r="F36" s="225"/>
      <c r="G36" s="228"/>
      <c r="H36" s="228"/>
      <c r="I36" s="208"/>
    </row>
    <row r="37" spans="1:9" x14ac:dyDescent="0.3">
      <c r="A37" s="182"/>
      <c r="B37" s="225"/>
      <c r="C37" s="225"/>
      <c r="D37" s="181"/>
      <c r="E37" s="181"/>
      <c r="F37" s="225"/>
      <c r="G37" s="228"/>
      <c r="H37" s="228"/>
      <c r="I37" s="208"/>
    </row>
    <row r="38" spans="1:9" x14ac:dyDescent="0.3">
      <c r="A38" s="182"/>
      <c r="B38" s="225"/>
      <c r="C38" s="225"/>
      <c r="D38" s="181"/>
      <c r="E38" s="181"/>
      <c r="F38" s="225"/>
      <c r="G38" s="228"/>
      <c r="H38" s="228"/>
      <c r="I38" s="208"/>
    </row>
    <row r="39" spans="1:9" x14ac:dyDescent="0.3">
      <c r="A39" s="180" t="s">
        <v>153</v>
      </c>
      <c r="B39" s="225"/>
      <c r="C39" s="225"/>
      <c r="D39" s="181"/>
      <c r="E39" s="181"/>
      <c r="F39" s="225"/>
      <c r="G39" s="228"/>
      <c r="H39" s="228"/>
      <c r="I39" s="208"/>
    </row>
    <row r="40" spans="1:9" x14ac:dyDescent="0.3">
      <c r="A40" s="182" t="s">
        <v>191</v>
      </c>
      <c r="B40" s="201">
        <f>B19</f>
        <v>2089638.5</v>
      </c>
      <c r="C40" s="201">
        <f>C19</f>
        <v>2089638.5</v>
      </c>
      <c r="D40" s="201">
        <f>D19</f>
        <v>2214943.75</v>
      </c>
      <c r="E40" s="201">
        <f>E19</f>
        <v>2214943.75</v>
      </c>
      <c r="F40" s="225"/>
      <c r="G40" s="201">
        <f>G19</f>
        <v>2238541.19</v>
      </c>
      <c r="H40" s="209">
        <v>4214398</v>
      </c>
      <c r="I40" s="208">
        <f t="shared" ref="I40" si="6">(H40-E40)/E40</f>
        <v>0.90271107336247247</v>
      </c>
    </row>
    <row r="41" spans="1:9" x14ac:dyDescent="0.3">
      <c r="A41" s="182"/>
      <c r="B41" s="201"/>
      <c r="C41" s="225"/>
      <c r="D41" s="201"/>
      <c r="E41" s="203"/>
      <c r="F41" s="202"/>
      <c r="G41" s="201"/>
      <c r="H41" s="209"/>
      <c r="I41" s="208"/>
    </row>
    <row r="42" spans="1:9" x14ac:dyDescent="0.3">
      <c r="A42" s="406" t="s">
        <v>188</v>
      </c>
      <c r="B42" s="407">
        <f>SUM(B25:B41)</f>
        <v>14648924.890000001</v>
      </c>
      <c r="C42" s="407">
        <f t="shared" ref="C42:H42" si="7">SUM(C25:C41)</f>
        <v>14648924.890000001</v>
      </c>
      <c r="D42" s="407">
        <f t="shared" si="7"/>
        <v>15191546.58</v>
      </c>
      <c r="E42" s="407">
        <f t="shared" si="7"/>
        <v>15191546.58</v>
      </c>
      <c r="F42" s="407">
        <f t="shared" si="7"/>
        <v>13317888.589999998</v>
      </c>
      <c r="G42" s="407">
        <f t="shared" si="7"/>
        <v>15578179.26</v>
      </c>
      <c r="H42" s="407">
        <f t="shared" si="7"/>
        <v>17400287.640000001</v>
      </c>
      <c r="I42" s="208">
        <f t="shared" ref="I42" si="8">(H42-E42)/E42</f>
        <v>0.14539277145803284</v>
      </c>
    </row>
    <row r="43" spans="1:9" x14ac:dyDescent="0.3">
      <c r="A43" s="182"/>
      <c r="B43" s="201"/>
      <c r="C43" s="202"/>
      <c r="D43" s="201"/>
      <c r="E43" s="203"/>
      <c r="F43" s="203"/>
      <c r="G43" s="201"/>
      <c r="H43" s="204"/>
      <c r="I43" s="205"/>
    </row>
    <row r="44" spans="1:9" x14ac:dyDescent="0.3">
      <c r="A44" s="211" t="s">
        <v>154</v>
      </c>
      <c r="B44" s="212">
        <f t="shared" ref="B44:G44" si="9">B22-B42</f>
        <v>462896.28000000119</v>
      </c>
      <c r="C44" s="229">
        <f>C22-C42+C4</f>
        <v>12129358.210000001</v>
      </c>
      <c r="D44" s="212">
        <f t="shared" si="9"/>
        <v>792218.19999999925</v>
      </c>
      <c r="E44" s="229">
        <f>E22-E42+E4</f>
        <v>11235517.27</v>
      </c>
      <c r="F44" s="212">
        <f t="shared" si="9"/>
        <v>493720.81000000238</v>
      </c>
      <c r="G44" s="212">
        <f t="shared" si="9"/>
        <v>933569.19999999925</v>
      </c>
      <c r="H44" s="229">
        <f>H22-H42+H4</f>
        <v>12361544.9</v>
      </c>
      <c r="I44" s="208">
        <f t="shared" ref="I44" si="10">(H44-E44)/E44</f>
        <v>0.10022036395303417</v>
      </c>
    </row>
  </sheetData>
  <pageMargins left="0.2" right="0.2" top="0.75" bottom="0.25" header="0.3" footer="0.3"/>
  <pageSetup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activeCell="C15" sqref="C15:H15"/>
    </sheetView>
  </sheetViews>
  <sheetFormatPr defaultRowHeight="14.4" x14ac:dyDescent="0.3"/>
  <cols>
    <col min="1" max="1" width="48.5546875" bestFit="1" customWidth="1"/>
    <col min="2" max="2" width="13.5546875" bestFit="1" customWidth="1"/>
    <col min="3" max="3" width="13.6640625" hidden="1" customWidth="1"/>
    <col min="4" max="4" width="12.88671875" hidden="1" customWidth="1"/>
    <col min="5" max="5" width="13.33203125" customWidth="1"/>
    <col min="6" max="12" width="12.5546875" bestFit="1" customWidth="1"/>
  </cols>
  <sheetData>
    <row r="1" spans="1:12" ht="18" x14ac:dyDescent="0.35">
      <c r="A1" s="4" t="s">
        <v>21</v>
      </c>
      <c r="B1" s="4"/>
    </row>
    <row r="2" spans="1:12" ht="18" x14ac:dyDescent="0.35">
      <c r="A2" s="4"/>
      <c r="B2" s="4"/>
    </row>
    <row r="3" spans="1:12" ht="28.2" x14ac:dyDescent="0.35">
      <c r="A3" s="11" t="s">
        <v>22</v>
      </c>
      <c r="B3" s="12" t="s">
        <v>23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14</v>
      </c>
      <c r="I3" s="13" t="s">
        <v>16</v>
      </c>
      <c r="J3" s="13" t="s">
        <v>17</v>
      </c>
      <c r="K3" s="13" t="s">
        <v>18</v>
      </c>
      <c r="L3" s="13" t="s">
        <v>19</v>
      </c>
    </row>
    <row r="4" spans="1:12" x14ac:dyDescent="0.3">
      <c r="A4" s="14" t="s">
        <v>0</v>
      </c>
      <c r="B4" s="15"/>
      <c r="C4" s="33">
        <v>20978451.52</v>
      </c>
      <c r="D4" s="33">
        <f t="shared" ref="D4:L4" si="0">C10</f>
        <v>20978451.52</v>
      </c>
      <c r="E4" s="16">
        <v>4169670.48</v>
      </c>
      <c r="F4" s="16">
        <f t="shared" si="0"/>
        <v>4169670.4800000004</v>
      </c>
      <c r="G4" s="16">
        <f t="shared" si="0"/>
        <v>4169670.4800000004</v>
      </c>
      <c r="H4" s="16">
        <f t="shared" si="0"/>
        <v>4169670.4800000004</v>
      </c>
      <c r="I4" s="16">
        <f t="shared" si="0"/>
        <v>4169670.4800000004</v>
      </c>
      <c r="J4" s="16">
        <f t="shared" si="0"/>
        <v>4169670.4800000004</v>
      </c>
      <c r="K4" s="16">
        <f t="shared" si="0"/>
        <v>4169670.4800000004</v>
      </c>
      <c r="L4" s="16">
        <f t="shared" si="0"/>
        <v>4169670.4800000004</v>
      </c>
    </row>
    <row r="5" spans="1:12" x14ac:dyDescent="0.3">
      <c r="A5" s="14" t="s">
        <v>24</v>
      </c>
      <c r="B5" s="15"/>
      <c r="C5" s="18">
        <v>2214943.75</v>
      </c>
      <c r="D5" s="18">
        <f>SUM(D6:D9)</f>
        <v>2238541.19</v>
      </c>
      <c r="E5" s="18">
        <f t="shared" ref="E5:L5" si="1">SUM(E6:E9)</f>
        <v>2233605</v>
      </c>
      <c r="F5" s="18">
        <f t="shared" si="1"/>
        <v>2240953.5</v>
      </c>
      <c r="G5" s="18">
        <f t="shared" si="1"/>
        <v>2242130</v>
      </c>
      <c r="H5" s="18">
        <f t="shared" si="1"/>
        <v>2236062</v>
      </c>
      <c r="I5" s="18">
        <f t="shared" si="1"/>
        <v>2237696.75</v>
      </c>
      <c r="J5" s="18">
        <f t="shared" si="1"/>
        <v>2236803</v>
      </c>
      <c r="K5" s="18">
        <f t="shared" si="1"/>
        <v>2243132.25</v>
      </c>
      <c r="L5" s="18">
        <f t="shared" si="1"/>
        <v>2236717</v>
      </c>
    </row>
    <row r="6" spans="1:12" x14ac:dyDescent="0.3">
      <c r="A6" s="19" t="s">
        <v>25</v>
      </c>
      <c r="B6" s="20">
        <v>1775000</v>
      </c>
      <c r="C6" s="17">
        <v>131081.25</v>
      </c>
      <c r="D6" s="17">
        <v>133638</v>
      </c>
      <c r="E6" s="17">
        <v>130880</v>
      </c>
      <c r="F6" s="17">
        <v>132803.5</v>
      </c>
      <c r="G6" s="17">
        <v>134380</v>
      </c>
      <c r="H6" s="17">
        <v>135612</v>
      </c>
      <c r="I6" s="17">
        <v>131646.75</v>
      </c>
      <c r="J6" s="17">
        <v>132453</v>
      </c>
      <c r="K6" s="17">
        <v>132882.25</v>
      </c>
      <c r="L6" s="17">
        <v>132967</v>
      </c>
    </row>
    <row r="7" spans="1:12" x14ac:dyDescent="0.3">
      <c r="A7" s="19" t="s">
        <v>26</v>
      </c>
      <c r="B7" s="20">
        <v>23915000</v>
      </c>
      <c r="C7" s="17">
        <v>1455762.5</v>
      </c>
      <c r="D7" s="16">
        <v>832300</v>
      </c>
      <c r="E7" s="16"/>
      <c r="F7" s="16"/>
      <c r="G7" s="16"/>
      <c r="H7" s="16"/>
      <c r="I7" s="16"/>
      <c r="J7" s="16"/>
      <c r="K7" s="16"/>
      <c r="L7" s="16"/>
    </row>
    <row r="8" spans="1:12" x14ac:dyDescent="0.3">
      <c r="A8" s="19" t="s">
        <v>27</v>
      </c>
      <c r="B8" s="20">
        <v>6705000</v>
      </c>
      <c r="C8" s="16">
        <v>628100</v>
      </c>
      <c r="D8" s="16">
        <v>631100</v>
      </c>
      <c r="E8" s="16">
        <v>629600</v>
      </c>
      <c r="F8" s="16">
        <v>632400</v>
      </c>
      <c r="G8" s="16">
        <v>634400</v>
      </c>
      <c r="H8" s="16">
        <v>630700</v>
      </c>
      <c r="I8" s="16">
        <v>631300</v>
      </c>
      <c r="J8" s="16">
        <v>631100</v>
      </c>
      <c r="K8" s="16">
        <v>635000</v>
      </c>
      <c r="L8" s="16">
        <v>633000</v>
      </c>
    </row>
    <row r="9" spans="1:12" x14ac:dyDescent="0.3">
      <c r="A9" s="171" t="s">
        <v>136</v>
      </c>
      <c r="B9" s="20">
        <v>19685000</v>
      </c>
      <c r="C9" s="9">
        <v>0</v>
      </c>
      <c r="D9" s="9">
        <v>641503.18999999994</v>
      </c>
      <c r="E9" s="9">
        <v>1473125</v>
      </c>
      <c r="F9" s="9">
        <v>1475750</v>
      </c>
      <c r="G9" s="9">
        <v>1473350</v>
      </c>
      <c r="H9" s="9">
        <v>1469750</v>
      </c>
      <c r="I9" s="9">
        <v>1474750</v>
      </c>
      <c r="J9" s="9">
        <v>1473250</v>
      </c>
      <c r="K9" s="9">
        <v>1475250</v>
      </c>
      <c r="L9" s="9">
        <v>1470750</v>
      </c>
    </row>
    <row r="10" spans="1:12" x14ac:dyDescent="0.3">
      <c r="A10" s="14" t="s">
        <v>2</v>
      </c>
      <c r="B10" s="14"/>
      <c r="C10" s="18">
        <f t="shared" ref="C10:L10" si="2">(C4+C5)-C6-C7-C8-C9</f>
        <v>20978451.52</v>
      </c>
      <c r="D10" s="18">
        <f t="shared" si="2"/>
        <v>20978451.52</v>
      </c>
      <c r="E10" s="18">
        <f t="shared" si="2"/>
        <v>4169670.4800000004</v>
      </c>
      <c r="F10" s="18">
        <f t="shared" si="2"/>
        <v>4169670.4800000004</v>
      </c>
      <c r="G10" s="18">
        <f t="shared" si="2"/>
        <v>4169670.4800000004</v>
      </c>
      <c r="H10" s="18">
        <f t="shared" si="2"/>
        <v>4169670.4800000004</v>
      </c>
      <c r="I10" s="18">
        <f t="shared" si="2"/>
        <v>4169670.4800000004</v>
      </c>
      <c r="J10" s="18">
        <f t="shared" si="2"/>
        <v>4169670.4800000004</v>
      </c>
      <c r="K10" s="18">
        <f t="shared" si="2"/>
        <v>4169670.4800000004</v>
      </c>
      <c r="L10" s="18">
        <f t="shared" si="2"/>
        <v>4169670.4800000004</v>
      </c>
    </row>
    <row r="11" spans="1:12" x14ac:dyDescent="0.3">
      <c r="C11" s="2"/>
      <c r="D11" s="2"/>
      <c r="E11" s="2"/>
      <c r="F11" s="2"/>
      <c r="G11" s="2"/>
      <c r="H11" s="2"/>
      <c r="I11" s="2"/>
    </row>
    <row r="12" spans="1:12" x14ac:dyDescent="0.3">
      <c r="C12" s="2"/>
      <c r="D12" s="2"/>
      <c r="E12" s="2"/>
      <c r="F12" s="2"/>
      <c r="G12" s="2"/>
      <c r="H12" s="2"/>
      <c r="I12" s="2"/>
    </row>
    <row r="13" spans="1:12" ht="28.2" x14ac:dyDescent="0.35">
      <c r="A13" s="11" t="s">
        <v>28</v>
      </c>
      <c r="B13" s="12" t="s">
        <v>23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14</v>
      </c>
      <c r="I13" s="13" t="s">
        <v>16</v>
      </c>
      <c r="J13" s="13" t="s">
        <v>17</v>
      </c>
      <c r="K13" s="13" t="s">
        <v>18</v>
      </c>
      <c r="L13" s="13" t="s">
        <v>19</v>
      </c>
    </row>
    <row r="14" spans="1:12" x14ac:dyDescent="0.3">
      <c r="A14" s="14" t="s">
        <v>0</v>
      </c>
      <c r="B14" s="15"/>
      <c r="C14" s="16">
        <v>7818786.4699999997</v>
      </c>
      <c r="D14" s="16">
        <f t="shared" ref="D14:L14" si="3">C33</f>
        <v>6607917.959999999</v>
      </c>
      <c r="E14" s="16">
        <f>5486026.98+3865.44</f>
        <v>5489892.4200000009</v>
      </c>
      <c r="F14" s="16">
        <f t="shared" si="3"/>
        <v>4526557.5500000007</v>
      </c>
      <c r="G14" s="16">
        <f t="shared" si="3"/>
        <v>4619997.6800000016</v>
      </c>
      <c r="H14" s="16">
        <f t="shared" si="3"/>
        <v>5405631.5600000024</v>
      </c>
      <c r="I14" s="16">
        <f t="shared" si="3"/>
        <v>6179234.1900000032</v>
      </c>
      <c r="J14" s="16">
        <f t="shared" si="3"/>
        <v>7476668.070000004</v>
      </c>
      <c r="K14" s="16">
        <f t="shared" si="3"/>
        <v>9168261.3300000038</v>
      </c>
      <c r="L14" s="16">
        <f t="shared" si="3"/>
        <v>10767857.720000004</v>
      </c>
    </row>
    <row r="15" spans="1:12" x14ac:dyDescent="0.3">
      <c r="A15" s="14" t="s">
        <v>29</v>
      </c>
      <c r="B15" s="15"/>
      <c r="C15" s="16">
        <v>7128250.2699999996</v>
      </c>
      <c r="D15" s="16">
        <v>7165208.2400000002</v>
      </c>
      <c r="E15" s="16">
        <v>7023927.6500000004</v>
      </c>
      <c r="F15" s="16">
        <f t="shared" ref="F15:L15" si="4">E15</f>
        <v>7023927.6500000004</v>
      </c>
      <c r="G15" s="16">
        <f t="shared" si="4"/>
        <v>7023927.6500000004</v>
      </c>
      <c r="H15" s="16">
        <f t="shared" si="4"/>
        <v>7023927.6500000004</v>
      </c>
      <c r="I15" s="16">
        <f t="shared" si="4"/>
        <v>7023927.6500000004</v>
      </c>
      <c r="J15" s="16">
        <f t="shared" si="4"/>
        <v>7023927.6500000004</v>
      </c>
      <c r="K15" s="16">
        <f t="shared" si="4"/>
        <v>7023927.6500000004</v>
      </c>
      <c r="L15" s="16">
        <f t="shared" si="4"/>
        <v>7023927.6500000004</v>
      </c>
    </row>
    <row r="16" spans="1:12" x14ac:dyDescent="0.3">
      <c r="A16" s="19" t="s">
        <v>30</v>
      </c>
      <c r="B16" s="22">
        <v>12585000</v>
      </c>
      <c r="C16" s="16">
        <v>672225</v>
      </c>
      <c r="D16" s="16">
        <v>679437.5</v>
      </c>
      <c r="E16" s="16">
        <v>685075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x14ac:dyDescent="0.3">
      <c r="A17" s="19" t="s">
        <v>31</v>
      </c>
      <c r="B17" s="22">
        <v>6750000</v>
      </c>
      <c r="C17" s="16">
        <v>286800</v>
      </c>
      <c r="D17" s="16">
        <v>290700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x14ac:dyDescent="0.3">
      <c r="A18" s="19" t="s">
        <v>32</v>
      </c>
      <c r="B18" s="22">
        <v>5409998.7999999998</v>
      </c>
      <c r="C18" s="16">
        <v>955600</v>
      </c>
      <c r="D18" s="16">
        <v>679500</v>
      </c>
      <c r="E18" s="16">
        <v>290700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</row>
    <row r="19" spans="1:12" x14ac:dyDescent="0.3">
      <c r="A19" s="19" t="s">
        <v>33</v>
      </c>
      <c r="B19" s="22">
        <v>3200000</v>
      </c>
      <c r="C19" s="16">
        <v>237968.76</v>
      </c>
      <c r="D19" s="16">
        <v>137363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x14ac:dyDescent="0.3">
      <c r="A20" s="19" t="s">
        <v>34</v>
      </c>
      <c r="B20" s="22">
        <v>7014997.3499999996</v>
      </c>
      <c r="C20" s="16">
        <v>888562.5</v>
      </c>
      <c r="D20" s="16">
        <v>1172050</v>
      </c>
      <c r="E20" s="16">
        <v>1355600</v>
      </c>
      <c r="F20" s="16">
        <v>335362.5</v>
      </c>
      <c r="G20" s="16">
        <v>0</v>
      </c>
      <c r="H20" s="16"/>
      <c r="I20" s="14"/>
      <c r="J20" s="14"/>
      <c r="K20" s="14"/>
      <c r="L20" s="14"/>
    </row>
    <row r="21" spans="1:12" x14ac:dyDescent="0.3">
      <c r="A21" s="19" t="s">
        <v>35</v>
      </c>
      <c r="B21" s="22">
        <v>2350000</v>
      </c>
      <c r="C21" s="16">
        <v>169300</v>
      </c>
      <c r="D21" s="16">
        <v>171475</v>
      </c>
      <c r="E21" s="16">
        <v>173250</v>
      </c>
      <c r="F21" s="16">
        <v>174875</v>
      </c>
      <c r="G21" s="16">
        <v>181275</v>
      </c>
      <c r="H21" s="16">
        <v>182450</v>
      </c>
      <c r="I21" s="16">
        <v>183306.25</v>
      </c>
      <c r="J21" s="16">
        <v>188756.25</v>
      </c>
      <c r="K21" s="16">
        <v>188400</v>
      </c>
      <c r="L21" s="16">
        <v>192200</v>
      </c>
    </row>
    <row r="22" spans="1:12" x14ac:dyDescent="0.3">
      <c r="A22" s="19" t="s">
        <v>36</v>
      </c>
      <c r="B22" s="22">
        <v>11160000</v>
      </c>
      <c r="C22" s="16">
        <v>1602368.76</v>
      </c>
      <c r="D22" s="16">
        <v>1611473.76</v>
      </c>
      <c r="E22" s="16">
        <v>1620243.76</v>
      </c>
      <c r="F22" s="16">
        <v>2048218.76</v>
      </c>
      <c r="G22" s="16">
        <v>1626593.76</v>
      </c>
      <c r="H22" s="16">
        <v>1633193.76</v>
      </c>
      <c r="I22" s="16">
        <v>1074193.76</v>
      </c>
      <c r="J22" s="16">
        <v>604296.88</v>
      </c>
      <c r="K22" s="16">
        <v>0</v>
      </c>
      <c r="L22" s="16">
        <v>0</v>
      </c>
    </row>
    <row r="23" spans="1:12" x14ac:dyDescent="0.3">
      <c r="A23" s="23" t="s">
        <v>37</v>
      </c>
      <c r="B23" s="22">
        <v>14834984</v>
      </c>
      <c r="C23" s="16">
        <v>657425</v>
      </c>
      <c r="D23" s="16">
        <v>666375</v>
      </c>
      <c r="E23" s="16">
        <v>744325</v>
      </c>
      <c r="F23" s="16">
        <v>731475</v>
      </c>
      <c r="G23" s="16">
        <v>736500</v>
      </c>
      <c r="H23" s="16">
        <v>734200</v>
      </c>
      <c r="I23" s="16">
        <v>736525</v>
      </c>
      <c r="J23" s="16">
        <v>743325</v>
      </c>
      <c r="K23" s="16">
        <v>1389775</v>
      </c>
      <c r="L23" s="16">
        <v>2075225</v>
      </c>
    </row>
    <row r="24" spans="1:12" x14ac:dyDescent="0.3">
      <c r="A24" s="24" t="s">
        <v>38</v>
      </c>
      <c r="B24" s="22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</row>
    <row r="25" spans="1:12" x14ac:dyDescent="0.3">
      <c r="A25" s="19" t="s">
        <v>39</v>
      </c>
      <c r="B25" s="22">
        <v>2550000</v>
      </c>
      <c r="C25" s="16">
        <v>172837.5</v>
      </c>
      <c r="D25" s="16">
        <v>175487.5</v>
      </c>
      <c r="E25" s="16">
        <v>178037.5</v>
      </c>
      <c r="F25" s="16">
        <v>180325</v>
      </c>
      <c r="G25" s="16">
        <v>182343.75</v>
      </c>
      <c r="H25" s="16">
        <v>183900</v>
      </c>
      <c r="I25" s="16">
        <v>189912.5</v>
      </c>
      <c r="J25" s="16">
        <v>190525</v>
      </c>
      <c r="K25" s="16">
        <v>190800</v>
      </c>
      <c r="L25" s="16">
        <v>190925</v>
      </c>
    </row>
    <row r="26" spans="1:12" x14ac:dyDescent="0.3">
      <c r="A26" s="23" t="s">
        <v>40</v>
      </c>
      <c r="B26" s="22">
        <v>6829999.9000000004</v>
      </c>
      <c r="C26" s="16">
        <v>1148550</v>
      </c>
      <c r="D26" s="16">
        <v>1148350</v>
      </c>
      <c r="E26" s="16">
        <v>826000</v>
      </c>
      <c r="F26" s="16">
        <v>832750</v>
      </c>
      <c r="G26" s="16">
        <v>869650</v>
      </c>
      <c r="H26" s="16">
        <v>584625</v>
      </c>
      <c r="I26" s="16">
        <v>593200</v>
      </c>
      <c r="J26" s="16">
        <v>632400</v>
      </c>
      <c r="K26" s="16">
        <v>0</v>
      </c>
      <c r="L26" s="16">
        <v>0</v>
      </c>
    </row>
    <row r="27" spans="1:12" x14ac:dyDescent="0.3">
      <c r="A27" s="23" t="s">
        <v>41</v>
      </c>
      <c r="B27" s="22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x14ac:dyDescent="0.3">
      <c r="A28" s="19" t="s">
        <v>42</v>
      </c>
      <c r="B28" s="22">
        <v>2230000</v>
      </c>
      <c r="C28" s="16">
        <v>138112.5</v>
      </c>
      <c r="D28" s="16">
        <v>141562.5</v>
      </c>
      <c r="E28" s="16">
        <v>144912.5</v>
      </c>
      <c r="F28" s="16">
        <v>147712.5</v>
      </c>
      <c r="G28" s="16">
        <v>149937.5</v>
      </c>
      <c r="H28" s="16">
        <v>147087.5</v>
      </c>
      <c r="I28" s="16">
        <v>149162.5</v>
      </c>
      <c r="J28" s="16">
        <v>151087.5</v>
      </c>
      <c r="K28" s="16">
        <v>152862.5</v>
      </c>
      <c r="L28" s="16">
        <v>154487.5</v>
      </c>
    </row>
    <row r="29" spans="1:12" x14ac:dyDescent="0.3">
      <c r="A29" s="19" t="s">
        <v>43</v>
      </c>
      <c r="B29" s="22">
        <v>12919989</v>
      </c>
      <c r="C29" s="16">
        <v>913468.76</v>
      </c>
      <c r="D29" s="16">
        <v>916718.76</v>
      </c>
      <c r="E29" s="16">
        <v>751368.76</v>
      </c>
      <c r="F29" s="16">
        <v>757418.76</v>
      </c>
      <c r="G29" s="16">
        <v>752693.76000000001</v>
      </c>
      <c r="H29" s="16">
        <v>1026268.76</v>
      </c>
      <c r="I29" s="16">
        <v>1028393.76</v>
      </c>
      <c r="J29" s="16">
        <v>1039618.76</v>
      </c>
      <c r="K29" s="16">
        <v>1699893.76</v>
      </c>
      <c r="L29" s="16">
        <v>1014493.76</v>
      </c>
    </row>
    <row r="30" spans="1:12" x14ac:dyDescent="0.3">
      <c r="A30" s="19" t="s">
        <v>44</v>
      </c>
      <c r="B30" s="22">
        <v>11574997.699999999</v>
      </c>
      <c r="C30" s="16">
        <v>495900</v>
      </c>
      <c r="D30" s="16">
        <v>497750</v>
      </c>
      <c r="E30" s="16">
        <v>791550</v>
      </c>
      <c r="F30" s="16">
        <v>1491950</v>
      </c>
      <c r="G30" s="16">
        <v>1510000</v>
      </c>
      <c r="H30" s="16">
        <v>1525700</v>
      </c>
      <c r="I30" s="16">
        <v>1540600</v>
      </c>
      <c r="J30" s="16">
        <v>1548125</v>
      </c>
      <c r="K30" s="16">
        <v>1565800</v>
      </c>
      <c r="L30" s="16">
        <v>1579200</v>
      </c>
    </row>
    <row r="31" spans="1:12" x14ac:dyDescent="0.3">
      <c r="A31" s="199" t="s">
        <v>137</v>
      </c>
      <c r="B31" s="22">
        <v>2470000</v>
      </c>
      <c r="C31" s="16"/>
      <c r="D31" s="16">
        <v>85204</v>
      </c>
      <c r="E31" s="16">
        <v>226200</v>
      </c>
      <c r="F31" s="16">
        <v>230400</v>
      </c>
      <c r="G31" s="16">
        <v>229300</v>
      </c>
      <c r="H31" s="16">
        <v>232900</v>
      </c>
      <c r="I31" s="16">
        <v>231200</v>
      </c>
      <c r="J31" s="16">
        <v>234200</v>
      </c>
      <c r="K31" s="16">
        <v>236800</v>
      </c>
      <c r="L31" s="16">
        <v>234100</v>
      </c>
    </row>
    <row r="32" spans="1:12" x14ac:dyDescent="0.3">
      <c r="A32" s="365" t="s">
        <v>304</v>
      </c>
      <c r="B32" s="366">
        <v>19025000</v>
      </c>
      <c r="C32" s="17"/>
      <c r="D32" s="17"/>
      <c r="E32" s="367">
        <v>200000</v>
      </c>
      <c r="F32" s="17"/>
      <c r="G32" s="17"/>
      <c r="H32" s="17"/>
      <c r="I32" s="14"/>
      <c r="J32" s="14"/>
      <c r="K32" s="14"/>
      <c r="L32" s="14"/>
    </row>
    <row r="33" spans="1:12" x14ac:dyDescent="0.3">
      <c r="A33" s="14" t="s">
        <v>2</v>
      </c>
      <c r="B33" s="14"/>
      <c r="C33" s="18">
        <f>(C14+C15)-C16-C17-C18-C19-C20-C21-C22-C23-C24-C25-C26-C27-C28-C29-C30-C31</f>
        <v>6607917.959999999</v>
      </c>
      <c r="D33" s="18">
        <f t="shared" ref="D33" si="5">(D14+D15)-D16-D17-D18-D19-D20-D21-D22-D23-D24-D25-D26-D27-D28-D29-D30-D31</f>
        <v>5399679.1799999997</v>
      </c>
      <c r="E33" s="18">
        <f t="shared" ref="E33:L33" si="6">(E14+E15)-E16-E17-E18-E19-E20-E21-E22-E23-E24-E25-E26-E27-E28-E29-E30-E31-E32</f>
        <v>4526557.5500000007</v>
      </c>
      <c r="F33" s="18">
        <f t="shared" si="6"/>
        <v>4619997.6800000016</v>
      </c>
      <c r="G33" s="18">
        <f t="shared" si="6"/>
        <v>5405631.5600000024</v>
      </c>
      <c r="H33" s="18">
        <f t="shared" si="6"/>
        <v>6179234.1900000032</v>
      </c>
      <c r="I33" s="18">
        <f t="shared" si="6"/>
        <v>7476668.070000004</v>
      </c>
      <c r="J33" s="18">
        <f t="shared" si="6"/>
        <v>9168261.3300000038</v>
      </c>
      <c r="K33" s="18">
        <f t="shared" si="6"/>
        <v>10767857.720000004</v>
      </c>
      <c r="L33" s="18">
        <f t="shared" si="6"/>
        <v>12351154.110000005</v>
      </c>
    </row>
    <row r="34" spans="1:12" x14ac:dyDescent="0.3"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28.2" x14ac:dyDescent="0.35">
      <c r="A35" s="11" t="s">
        <v>45</v>
      </c>
      <c r="B35" s="12" t="s">
        <v>23</v>
      </c>
      <c r="C35" s="13" t="s">
        <v>7</v>
      </c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14</v>
      </c>
      <c r="I35" s="13" t="s">
        <v>16</v>
      </c>
      <c r="J35" s="13" t="s">
        <v>17</v>
      </c>
      <c r="K35" s="13" t="s">
        <v>18</v>
      </c>
      <c r="L35" s="13" t="s">
        <v>19</v>
      </c>
    </row>
    <row r="36" spans="1:12" x14ac:dyDescent="0.3">
      <c r="A36" s="14" t="s">
        <v>0</v>
      </c>
      <c r="B36" s="15"/>
      <c r="C36" s="16">
        <v>1167874</v>
      </c>
      <c r="D36" s="17">
        <f t="shared" ref="D36:L36" si="7">C42</f>
        <v>1110272.45</v>
      </c>
      <c r="E36" s="17">
        <v>1076370.8899999999</v>
      </c>
      <c r="F36" s="17">
        <f t="shared" si="7"/>
        <v>1038102.9199999997</v>
      </c>
      <c r="G36" s="17">
        <f t="shared" si="7"/>
        <v>1017767.2157999997</v>
      </c>
      <c r="H36" s="17">
        <f t="shared" si="7"/>
        <v>1002911.9227159999</v>
      </c>
      <c r="I36" s="17">
        <f t="shared" si="7"/>
        <v>1007570.1489703197</v>
      </c>
      <c r="J36" s="17">
        <f t="shared" si="7"/>
        <v>1128903.9149497263</v>
      </c>
      <c r="K36" s="17">
        <f t="shared" si="7"/>
        <v>1268491.8564487211</v>
      </c>
      <c r="L36" s="17">
        <f t="shared" si="7"/>
        <v>1428566.9319776958</v>
      </c>
    </row>
    <row r="37" spans="1:12" x14ac:dyDescent="0.3">
      <c r="A37" s="14" t="s">
        <v>29</v>
      </c>
      <c r="B37" s="15"/>
      <c r="C37" s="18">
        <v>1212173.46</v>
      </c>
      <c r="D37" s="16">
        <v>1220716.45</v>
      </c>
      <c r="E37" s="16">
        <v>1245363.29</v>
      </c>
      <c r="F37" s="16">
        <f t="shared" ref="F37:L37" si="8">(E37*2%)+E37</f>
        <v>1270270.5558</v>
      </c>
      <c r="G37" s="16">
        <f t="shared" si="8"/>
        <v>1295675.966916</v>
      </c>
      <c r="H37" s="16">
        <f t="shared" si="8"/>
        <v>1321589.48625432</v>
      </c>
      <c r="I37" s="16">
        <f t="shared" si="8"/>
        <v>1348021.2759794064</v>
      </c>
      <c r="J37" s="16">
        <f t="shared" si="8"/>
        <v>1374981.7014989946</v>
      </c>
      <c r="K37" s="16">
        <f t="shared" si="8"/>
        <v>1402481.3355289744</v>
      </c>
      <c r="L37" s="16">
        <f t="shared" si="8"/>
        <v>1430530.9622395539</v>
      </c>
    </row>
    <row r="38" spans="1:12" x14ac:dyDescent="0.3">
      <c r="A38" s="19" t="s">
        <v>46</v>
      </c>
      <c r="B38" s="22">
        <v>5150000</v>
      </c>
      <c r="C38" s="17">
        <v>170200</v>
      </c>
      <c r="D38" s="17">
        <v>178500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1:12" x14ac:dyDescent="0.3">
      <c r="A39" s="19" t="s">
        <v>47</v>
      </c>
      <c r="B39" s="22">
        <v>11330000</v>
      </c>
      <c r="C39" s="17">
        <v>293168.75</v>
      </c>
      <c r="D39" s="17">
        <v>296162.5</v>
      </c>
      <c r="E39" s="17">
        <v>0</v>
      </c>
      <c r="F39" s="17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</row>
    <row r="40" spans="1:12" x14ac:dyDescent="0.3">
      <c r="A40" s="19" t="s">
        <v>48</v>
      </c>
      <c r="B40" s="22">
        <v>2749996.8</v>
      </c>
      <c r="C40" s="16">
        <v>239931.26</v>
      </c>
      <c r="D40" s="16">
        <v>236331.26</v>
      </c>
      <c r="E40" s="16">
        <v>237681.26</v>
      </c>
      <c r="F40" s="16">
        <v>238931.26</v>
      </c>
      <c r="G40" s="16">
        <v>248956.26</v>
      </c>
      <c r="H40" s="16">
        <v>247731.26</v>
      </c>
      <c r="I40" s="16">
        <v>147856.26</v>
      </c>
      <c r="J40" s="16">
        <v>149331.26</v>
      </c>
      <c r="K40" s="16">
        <v>150656.26</v>
      </c>
      <c r="L40" s="16">
        <v>156756.26</v>
      </c>
    </row>
    <row r="41" spans="1:12" x14ac:dyDescent="0.3">
      <c r="A41" s="19" t="s">
        <v>49</v>
      </c>
      <c r="B41" s="22">
        <v>14505000</v>
      </c>
      <c r="C41" s="9">
        <v>566475</v>
      </c>
      <c r="D41" s="9">
        <v>562425</v>
      </c>
      <c r="E41" s="9">
        <v>1045950</v>
      </c>
      <c r="F41" s="9">
        <v>1051675</v>
      </c>
      <c r="G41" s="9">
        <v>1061575</v>
      </c>
      <c r="H41" s="9">
        <v>1069200</v>
      </c>
      <c r="I41" s="9">
        <v>1078831.25</v>
      </c>
      <c r="J41" s="9">
        <v>1086062.5</v>
      </c>
      <c r="K41" s="9">
        <v>1091750</v>
      </c>
      <c r="L41" s="9">
        <v>1095800</v>
      </c>
    </row>
    <row r="42" spans="1:12" x14ac:dyDescent="0.3">
      <c r="A42" s="14" t="s">
        <v>2</v>
      </c>
      <c r="B42" s="14"/>
      <c r="C42" s="18">
        <f t="shared" ref="C42:L42" si="9">(C36+C37)-C38-C39-C40-C41</f>
        <v>1110272.45</v>
      </c>
      <c r="D42" s="18">
        <f t="shared" si="9"/>
        <v>1057570.1399999999</v>
      </c>
      <c r="E42" s="18">
        <f t="shared" si="9"/>
        <v>1038102.9199999997</v>
      </c>
      <c r="F42" s="18">
        <f t="shared" si="9"/>
        <v>1017767.2157999997</v>
      </c>
      <c r="G42" s="18">
        <f t="shared" si="9"/>
        <v>1002911.9227159999</v>
      </c>
      <c r="H42" s="18">
        <f t="shared" si="9"/>
        <v>1007570.1489703197</v>
      </c>
      <c r="I42" s="18">
        <f t="shared" si="9"/>
        <v>1128903.9149497263</v>
      </c>
      <c r="J42" s="18">
        <f t="shared" si="9"/>
        <v>1268491.8564487211</v>
      </c>
      <c r="K42" s="18">
        <f t="shared" si="9"/>
        <v>1428566.9319776958</v>
      </c>
      <c r="L42" s="18">
        <f t="shared" si="9"/>
        <v>1606541.6342172502</v>
      </c>
    </row>
    <row r="43" spans="1:12" x14ac:dyDescent="0.3">
      <c r="C43" s="2"/>
      <c r="D43" s="2"/>
      <c r="E43" s="2"/>
      <c r="F43" s="2"/>
      <c r="G43" s="2"/>
      <c r="H43" s="2"/>
      <c r="I43" s="2"/>
    </row>
    <row r="44" spans="1:12" x14ac:dyDescent="0.3">
      <c r="A44" s="368"/>
      <c r="C44" s="2"/>
      <c r="D44" s="2"/>
      <c r="E44" s="2"/>
      <c r="F44" s="2"/>
      <c r="G44" s="2"/>
      <c r="H44" s="2"/>
      <c r="I44" s="2"/>
    </row>
    <row r="45" spans="1:12" ht="28.2" x14ac:dyDescent="0.35">
      <c r="A45" s="11" t="s">
        <v>51</v>
      </c>
      <c r="B45" s="12" t="s">
        <v>23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11</v>
      </c>
      <c r="H45" s="13" t="s">
        <v>14</v>
      </c>
      <c r="I45" s="13" t="s">
        <v>16</v>
      </c>
      <c r="J45" s="13" t="s">
        <v>17</v>
      </c>
      <c r="K45" s="13" t="s">
        <v>18</v>
      </c>
      <c r="L45" s="13" t="s">
        <v>19</v>
      </c>
    </row>
    <row r="46" spans="1:12" x14ac:dyDescent="0.3">
      <c r="A46" s="14" t="s">
        <v>0</v>
      </c>
      <c r="B46" s="15"/>
      <c r="C46" s="16">
        <v>2026353.89</v>
      </c>
      <c r="D46" s="17">
        <f t="shared" ref="D46:L46" si="10">C54</f>
        <v>2148829.38</v>
      </c>
      <c r="E46" s="17">
        <v>2099115.87</v>
      </c>
      <c r="F46" s="17">
        <f t="shared" si="10"/>
        <v>2036040.7000000002</v>
      </c>
      <c r="G46" s="17">
        <f t="shared" si="10"/>
        <v>1785943.0270000005</v>
      </c>
      <c r="H46" s="17">
        <f t="shared" si="10"/>
        <v>1566460.5049400001</v>
      </c>
      <c r="I46" s="17">
        <f t="shared" si="10"/>
        <v>1373193.9037588004</v>
      </c>
      <c r="J46" s="17">
        <f t="shared" si="10"/>
        <v>1211332.3709539766</v>
      </c>
      <c r="K46" s="17">
        <f t="shared" si="10"/>
        <v>1079558.6578930565</v>
      </c>
      <c r="L46" s="17">
        <f t="shared" si="10"/>
        <v>972836.25097091799</v>
      </c>
    </row>
    <row r="47" spans="1:12" x14ac:dyDescent="0.3">
      <c r="A47" s="14" t="s">
        <v>29</v>
      </c>
      <c r="B47" s="15"/>
      <c r="C47" s="18">
        <v>959191.75</v>
      </c>
      <c r="D47" s="16">
        <v>1196115.6299999999</v>
      </c>
      <c r="E47" s="16">
        <v>1484749.85</v>
      </c>
      <c r="F47" s="16">
        <f t="shared" ref="F47:L47" si="11">(E47*2%)+E47</f>
        <v>1514444.8470000001</v>
      </c>
      <c r="G47" s="16">
        <f t="shared" si="11"/>
        <v>1544733.74394</v>
      </c>
      <c r="H47" s="16">
        <f t="shared" si="11"/>
        <v>1575628.4188188</v>
      </c>
      <c r="I47" s="16">
        <f t="shared" si="11"/>
        <v>1607140.9871951761</v>
      </c>
      <c r="J47" s="16">
        <f t="shared" si="11"/>
        <v>1639283.8069390797</v>
      </c>
      <c r="K47" s="16">
        <f t="shared" si="11"/>
        <v>1672069.4830778614</v>
      </c>
      <c r="L47" s="16">
        <f t="shared" si="11"/>
        <v>1705510.8727394186</v>
      </c>
    </row>
    <row r="48" spans="1:12" x14ac:dyDescent="0.3">
      <c r="A48" s="19" t="s">
        <v>52</v>
      </c>
      <c r="B48" s="15">
        <v>4450000</v>
      </c>
      <c r="C48" s="17">
        <v>250822.5</v>
      </c>
      <c r="D48" s="17">
        <v>253853.75</v>
      </c>
      <c r="E48" s="17">
        <v>261472.5</v>
      </c>
      <c r="F48" s="17">
        <v>263702.5</v>
      </c>
      <c r="G48" s="17">
        <v>265663.75</v>
      </c>
      <c r="H48" s="17">
        <v>272207.5</v>
      </c>
      <c r="I48" s="17">
        <v>273317.5</v>
      </c>
      <c r="J48" s="17">
        <v>279027.5</v>
      </c>
      <c r="K48" s="17">
        <v>279215</v>
      </c>
      <c r="L48" s="17">
        <v>283887.5</v>
      </c>
    </row>
    <row r="49" spans="1:12" x14ac:dyDescent="0.3">
      <c r="A49" s="19" t="s">
        <v>53</v>
      </c>
      <c r="B49" s="15">
        <v>4125000</v>
      </c>
      <c r="C49" s="17">
        <v>252227.5</v>
      </c>
      <c r="D49" s="17">
        <v>254352.5</v>
      </c>
      <c r="E49" s="17">
        <v>256277.5</v>
      </c>
      <c r="F49" s="17">
        <v>258052.5</v>
      </c>
      <c r="G49" s="17">
        <v>259677.5</v>
      </c>
      <c r="H49" s="17">
        <v>261062.5</v>
      </c>
      <c r="I49" s="17">
        <v>262110</v>
      </c>
      <c r="J49" s="17">
        <v>262805</v>
      </c>
      <c r="K49" s="17">
        <v>268042.5</v>
      </c>
      <c r="L49" s="17">
        <v>267767.5</v>
      </c>
    </row>
    <row r="50" spans="1:12" x14ac:dyDescent="0.3">
      <c r="A50" s="19" t="s">
        <v>54</v>
      </c>
      <c r="B50" s="15">
        <v>7000000</v>
      </c>
      <c r="C50" s="16">
        <v>230181.26</v>
      </c>
      <c r="D50" s="16">
        <v>391056.26</v>
      </c>
      <c r="E50" s="16">
        <v>392556.26</v>
      </c>
      <c r="F50" s="16">
        <v>388681.26</v>
      </c>
      <c r="G50" s="16">
        <v>389431.25599999999</v>
      </c>
      <c r="H50" s="16">
        <v>390681.26</v>
      </c>
      <c r="I50" s="16">
        <v>393531.26</v>
      </c>
      <c r="J50" s="16">
        <v>393231.26</v>
      </c>
      <c r="K50" s="16">
        <v>398690.63</v>
      </c>
      <c r="L50" s="16">
        <v>408600</v>
      </c>
    </row>
    <row r="51" spans="1:12" x14ac:dyDescent="0.3">
      <c r="A51" s="171" t="s">
        <v>135</v>
      </c>
      <c r="B51" s="21">
        <v>5000000</v>
      </c>
      <c r="C51" s="9">
        <v>103485</v>
      </c>
      <c r="D51" s="9">
        <v>172475</v>
      </c>
      <c r="E51" s="9">
        <v>338225</v>
      </c>
      <c r="F51" s="9">
        <v>335912.5</v>
      </c>
      <c r="G51" s="9">
        <v>335150</v>
      </c>
      <c r="H51" s="9">
        <v>329750</v>
      </c>
      <c r="I51" s="9">
        <v>324350</v>
      </c>
      <c r="J51" s="9">
        <v>318950</v>
      </c>
      <c r="K51" s="9">
        <v>313550</v>
      </c>
      <c r="L51" s="9">
        <v>303225</v>
      </c>
    </row>
    <row r="52" spans="1:12" x14ac:dyDescent="0.3">
      <c r="A52" s="171" t="s">
        <v>151</v>
      </c>
      <c r="B52" s="21">
        <v>4500000</v>
      </c>
      <c r="C52" s="9"/>
      <c r="D52" s="9">
        <v>53515.360000000001</v>
      </c>
      <c r="E52" s="9">
        <v>124293.75999999999</v>
      </c>
      <c r="F52" s="9">
        <v>227193.76</v>
      </c>
      <c r="G52" s="9">
        <v>227893.76000000001</v>
      </c>
      <c r="H52" s="9">
        <v>228393.76</v>
      </c>
      <c r="I52" s="9">
        <v>228693.76000000001</v>
      </c>
      <c r="J52" s="9">
        <v>230043.76</v>
      </c>
      <c r="K52" s="9">
        <v>232493.76</v>
      </c>
      <c r="L52" s="9">
        <v>234843.76</v>
      </c>
    </row>
    <row r="53" spans="1:12" x14ac:dyDescent="0.3">
      <c r="A53" s="27" t="s">
        <v>150</v>
      </c>
      <c r="B53" s="200">
        <v>4500000</v>
      </c>
      <c r="C53" s="9"/>
      <c r="D53" s="9">
        <v>0</v>
      </c>
      <c r="E53" s="28">
        <v>175000</v>
      </c>
      <c r="F53" s="28">
        <v>291000</v>
      </c>
      <c r="G53" s="28">
        <v>286400</v>
      </c>
      <c r="H53" s="28">
        <v>286800</v>
      </c>
      <c r="I53" s="28">
        <v>287000</v>
      </c>
      <c r="J53" s="28">
        <v>287000</v>
      </c>
      <c r="K53" s="28">
        <v>286800</v>
      </c>
      <c r="L53" s="28">
        <v>291400</v>
      </c>
    </row>
    <row r="54" spans="1:12" x14ac:dyDescent="0.3">
      <c r="A54" s="14" t="s">
        <v>2</v>
      </c>
      <c r="B54" s="14"/>
      <c r="C54" s="18">
        <f t="shared" ref="C54" si="12">(C46+C47)-C48-C49-C50-C51</f>
        <v>2148829.38</v>
      </c>
      <c r="D54" s="18">
        <f>(D46+D47)-D48-D49-D50-D51-D52-D53</f>
        <v>2219692.14</v>
      </c>
      <c r="E54" s="18">
        <f t="shared" ref="E54:L54" si="13">(E46+E47)-E48-E49-E50-E51-E52-E53</f>
        <v>2036040.7000000002</v>
      </c>
      <c r="F54" s="18">
        <f t="shared" si="13"/>
        <v>1785943.0270000005</v>
      </c>
      <c r="G54" s="18">
        <f t="shared" si="13"/>
        <v>1566460.5049400001</v>
      </c>
      <c r="H54" s="18">
        <f t="shared" si="13"/>
        <v>1373193.9037588004</v>
      </c>
      <c r="I54" s="18">
        <f t="shared" si="13"/>
        <v>1211332.3709539766</v>
      </c>
      <c r="J54" s="18">
        <f t="shared" si="13"/>
        <v>1079558.6578930565</v>
      </c>
      <c r="K54" s="18">
        <f t="shared" si="13"/>
        <v>972836.25097091799</v>
      </c>
      <c r="L54" s="18">
        <f t="shared" si="13"/>
        <v>888623.36371033662</v>
      </c>
    </row>
    <row r="55" spans="1:12" x14ac:dyDescent="0.3">
      <c r="B55" s="29"/>
    </row>
    <row r="56" spans="1:12" x14ac:dyDescent="0.3">
      <c r="B56" s="30"/>
    </row>
    <row r="57" spans="1:12" ht="28.2" x14ac:dyDescent="0.35">
      <c r="A57" s="11" t="s">
        <v>55</v>
      </c>
      <c r="B57" s="12" t="s">
        <v>23</v>
      </c>
      <c r="C57" s="13" t="s">
        <v>7</v>
      </c>
      <c r="D57" s="13" t="s">
        <v>8</v>
      </c>
      <c r="E57" s="13" t="s">
        <v>9</v>
      </c>
      <c r="F57" s="13" t="s">
        <v>10</v>
      </c>
      <c r="G57" s="13" t="s">
        <v>11</v>
      </c>
      <c r="H57" s="13" t="s">
        <v>14</v>
      </c>
      <c r="I57" s="13" t="s">
        <v>16</v>
      </c>
      <c r="J57" s="13" t="s">
        <v>17</v>
      </c>
      <c r="K57" s="13" t="s">
        <v>18</v>
      </c>
      <c r="L57" s="13" t="s">
        <v>19</v>
      </c>
    </row>
    <row r="58" spans="1:12" x14ac:dyDescent="0.3">
      <c r="A58" s="14" t="s">
        <v>0</v>
      </c>
      <c r="B58" s="15"/>
      <c r="C58" s="16">
        <f>250266.08+95000</f>
        <v>345266.07999999996</v>
      </c>
      <c r="D58" s="17">
        <f t="shared" ref="D58:L58" si="14">C62</f>
        <v>345266.07999999996</v>
      </c>
      <c r="E58" s="17">
        <v>268317.38</v>
      </c>
      <c r="F58" s="17">
        <f t="shared" si="14"/>
        <v>268317.38</v>
      </c>
      <c r="G58" s="17">
        <f t="shared" si="14"/>
        <v>267639.33</v>
      </c>
      <c r="H58" s="17">
        <f t="shared" si="14"/>
        <v>269445.58</v>
      </c>
      <c r="I58" s="17">
        <f t="shared" si="14"/>
        <v>276402.98</v>
      </c>
      <c r="J58" s="17">
        <f t="shared" si="14"/>
        <v>288874.87799999997</v>
      </c>
      <c r="K58" s="17">
        <f t="shared" si="14"/>
        <v>149423.12799999997</v>
      </c>
      <c r="L58" s="17">
        <f t="shared" si="14"/>
        <v>0</v>
      </c>
    </row>
    <row r="59" spans="1:12" x14ac:dyDescent="0.3">
      <c r="A59" s="14" t="s">
        <v>29</v>
      </c>
      <c r="B59" s="15"/>
      <c r="C59" s="18">
        <v>149945</v>
      </c>
      <c r="D59" s="16">
        <v>149371.25</v>
      </c>
      <c r="E59" s="16">
        <v>148472.5</v>
      </c>
      <c r="F59" s="16">
        <f t="shared" ref="F59:I59" si="15">(E59*2%)+E59</f>
        <v>151441.95000000001</v>
      </c>
      <c r="G59" s="16">
        <f>F60</f>
        <v>152120</v>
      </c>
      <c r="H59" s="16">
        <f t="shared" si="15"/>
        <v>155162.4</v>
      </c>
      <c r="I59" s="16">
        <f t="shared" si="15"/>
        <v>158265.64799999999</v>
      </c>
      <c r="J59" s="16">
        <v>8477</v>
      </c>
      <c r="K59" s="16"/>
      <c r="L59" s="16">
        <v>0</v>
      </c>
    </row>
    <row r="60" spans="1:12" x14ac:dyDescent="0.3">
      <c r="A60" s="31" t="s">
        <v>56</v>
      </c>
      <c r="B60" s="15">
        <v>2100000</v>
      </c>
      <c r="C60" s="17">
        <v>149945</v>
      </c>
      <c r="D60" s="17">
        <v>149371.25</v>
      </c>
      <c r="E60" s="17">
        <v>148472.5</v>
      </c>
      <c r="F60" s="17">
        <v>152120</v>
      </c>
      <c r="G60" s="17">
        <v>150313.75</v>
      </c>
      <c r="H60" s="17">
        <v>148205</v>
      </c>
      <c r="I60" s="17">
        <v>145793.75</v>
      </c>
      <c r="J60" s="17">
        <v>147928.75</v>
      </c>
      <c r="K60" s="17">
        <v>149422.5</v>
      </c>
      <c r="L60" s="17">
        <v>0</v>
      </c>
    </row>
    <row r="61" spans="1:12" x14ac:dyDescent="0.3">
      <c r="A61" s="32"/>
      <c r="B61" s="21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3">
      <c r="A62" s="14" t="s">
        <v>2</v>
      </c>
      <c r="B62" s="14"/>
      <c r="C62" s="18">
        <f t="shared" ref="C62:L62" si="16">C58+C59-C60</f>
        <v>345266.07999999996</v>
      </c>
      <c r="D62" s="18">
        <f t="shared" si="16"/>
        <v>345266.07999999996</v>
      </c>
      <c r="E62" s="18">
        <f t="shared" si="16"/>
        <v>268317.38</v>
      </c>
      <c r="F62" s="18">
        <f t="shared" si="16"/>
        <v>267639.33</v>
      </c>
      <c r="G62" s="18">
        <f t="shared" si="16"/>
        <v>269445.58</v>
      </c>
      <c r="H62" s="18">
        <f t="shared" si="16"/>
        <v>276402.98</v>
      </c>
      <c r="I62" s="18">
        <f t="shared" si="16"/>
        <v>288874.87799999997</v>
      </c>
      <c r="J62" s="18">
        <f t="shared" si="16"/>
        <v>149423.12799999997</v>
      </c>
      <c r="K62" s="356">
        <v>0</v>
      </c>
      <c r="L62" s="18">
        <f t="shared" si="16"/>
        <v>0</v>
      </c>
    </row>
    <row r="63" spans="1:12" x14ac:dyDescent="0.3">
      <c r="B63" s="30"/>
    </row>
    <row r="64" spans="1:12" ht="28.2" x14ac:dyDescent="0.35">
      <c r="A64" s="11" t="s">
        <v>57</v>
      </c>
      <c r="B64" s="12" t="s">
        <v>23</v>
      </c>
      <c r="C64" s="13" t="s">
        <v>7</v>
      </c>
      <c r="D64" s="13" t="s">
        <v>8</v>
      </c>
      <c r="E64" s="13" t="s">
        <v>9</v>
      </c>
      <c r="F64" s="13" t="s">
        <v>10</v>
      </c>
      <c r="G64" s="13" t="s">
        <v>11</v>
      </c>
      <c r="H64" s="13" t="s">
        <v>14</v>
      </c>
      <c r="I64" s="13" t="s">
        <v>16</v>
      </c>
      <c r="J64" s="13" t="s">
        <v>17</v>
      </c>
      <c r="K64" s="13" t="s">
        <v>18</v>
      </c>
      <c r="L64" s="13" t="s">
        <v>19</v>
      </c>
    </row>
    <row r="65" spans="1:12" x14ac:dyDescent="0.3">
      <c r="A65" s="14" t="s">
        <v>0</v>
      </c>
      <c r="B65" s="15"/>
      <c r="C65" s="16">
        <f>22845.16+50000</f>
        <v>72845.16</v>
      </c>
      <c r="D65" s="17">
        <f t="shared" ref="D65:L65" si="17">C69</f>
        <v>72845.16</v>
      </c>
      <c r="E65" s="17">
        <v>20761.599999999999</v>
      </c>
      <c r="F65" s="17">
        <f t="shared" si="17"/>
        <v>20761.600000000006</v>
      </c>
      <c r="G65" s="17">
        <f t="shared" si="17"/>
        <v>20761.600000000006</v>
      </c>
      <c r="H65" s="17">
        <f t="shared" si="17"/>
        <v>20761.600000000006</v>
      </c>
      <c r="I65" s="17">
        <f t="shared" si="17"/>
        <v>20761.600000000006</v>
      </c>
      <c r="J65" s="17">
        <f t="shared" si="17"/>
        <v>20761.600000000006</v>
      </c>
      <c r="K65" s="17">
        <f t="shared" si="17"/>
        <v>20761.600000000006</v>
      </c>
      <c r="L65" s="17">
        <f t="shared" si="17"/>
        <v>20761.600000000006</v>
      </c>
    </row>
    <row r="66" spans="1:12" x14ac:dyDescent="0.3">
      <c r="A66" s="14" t="s">
        <v>29</v>
      </c>
      <c r="B66" s="15"/>
      <c r="C66" s="18">
        <v>83767.5</v>
      </c>
      <c r="D66" s="16">
        <v>81416.25</v>
      </c>
      <c r="E66" s="16">
        <v>83897.5</v>
      </c>
      <c r="F66" s="16">
        <f>F67</f>
        <v>81197.5</v>
      </c>
      <c r="G66" s="16">
        <f t="shared" ref="G66:L66" si="18">G67</f>
        <v>83308.75</v>
      </c>
      <c r="H66" s="16">
        <f t="shared" si="18"/>
        <v>80242.5</v>
      </c>
      <c r="I66" s="16">
        <f t="shared" si="18"/>
        <v>82007.5</v>
      </c>
      <c r="J66" s="16">
        <f t="shared" si="18"/>
        <v>83460</v>
      </c>
      <c r="K66" s="16">
        <f t="shared" si="18"/>
        <v>79755</v>
      </c>
      <c r="L66" s="16">
        <f t="shared" si="18"/>
        <v>80907.5</v>
      </c>
    </row>
    <row r="67" spans="1:12" x14ac:dyDescent="0.3">
      <c r="A67" s="31" t="s">
        <v>58</v>
      </c>
      <c r="B67" s="15">
        <v>1100000</v>
      </c>
      <c r="C67" s="17">
        <v>83767.5</v>
      </c>
      <c r="D67" s="17">
        <v>81416.25</v>
      </c>
      <c r="E67" s="17">
        <v>83897.5</v>
      </c>
      <c r="F67" s="17">
        <v>81197.5</v>
      </c>
      <c r="G67" s="17">
        <v>83308.75</v>
      </c>
      <c r="H67" s="17">
        <v>80242.5</v>
      </c>
      <c r="I67" s="17">
        <v>82007.5</v>
      </c>
      <c r="J67" s="17">
        <v>83460</v>
      </c>
      <c r="K67" s="17">
        <v>79755</v>
      </c>
      <c r="L67" s="17">
        <v>80907.5</v>
      </c>
    </row>
    <row r="68" spans="1:12" x14ac:dyDescent="0.3">
      <c r="A68" s="32"/>
      <c r="B68" s="21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x14ac:dyDescent="0.3">
      <c r="A69" s="14" t="s">
        <v>2</v>
      </c>
      <c r="B69" s="14"/>
      <c r="C69" s="18">
        <f t="shared" ref="C69:L69" si="19">C65+C66-C67</f>
        <v>72845.16</v>
      </c>
      <c r="D69" s="18">
        <f t="shared" si="19"/>
        <v>72845.16</v>
      </c>
      <c r="E69" s="18">
        <f t="shared" si="19"/>
        <v>20761.600000000006</v>
      </c>
      <c r="F69" s="18">
        <f t="shared" si="19"/>
        <v>20761.600000000006</v>
      </c>
      <c r="G69" s="18">
        <f t="shared" si="19"/>
        <v>20761.600000000006</v>
      </c>
      <c r="H69" s="18">
        <f t="shared" si="19"/>
        <v>20761.600000000006</v>
      </c>
      <c r="I69" s="18">
        <f t="shared" si="19"/>
        <v>20761.600000000006</v>
      </c>
      <c r="J69" s="18">
        <f t="shared" si="19"/>
        <v>20761.600000000006</v>
      </c>
      <c r="K69" s="18">
        <f t="shared" si="19"/>
        <v>20761.600000000006</v>
      </c>
      <c r="L69" s="18">
        <f t="shared" si="19"/>
        <v>20761.600000000006</v>
      </c>
    </row>
    <row r="70" spans="1:12" x14ac:dyDescent="0.3">
      <c r="B70" s="30"/>
    </row>
    <row r="71" spans="1:12" x14ac:dyDescent="0.3">
      <c r="A71" s="172" t="s">
        <v>138</v>
      </c>
      <c r="B71" s="30"/>
    </row>
    <row r="72" spans="1:12" x14ac:dyDescent="0.3">
      <c r="A72" s="26" t="s">
        <v>50</v>
      </c>
    </row>
  </sheetData>
  <pageMargins left="0.2" right="0.2" top="0.75" bottom="0.25" header="0.3" footer="0.3"/>
  <pageSetup scale="82" fitToHeight="2" orientation="landscape" r:id="rId1"/>
  <rowBreaks count="1" manualBreakCount="1">
    <brk id="3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1" workbookViewId="0">
      <selection activeCell="C15" sqref="C15:H15"/>
    </sheetView>
  </sheetViews>
  <sheetFormatPr defaultRowHeight="14.4" x14ac:dyDescent="0.3"/>
  <cols>
    <col min="9" max="9" width="17.33203125" bestFit="1" customWidth="1"/>
  </cols>
  <sheetData>
    <row r="2" spans="1:9" x14ac:dyDescent="0.3">
      <c r="A2" s="349"/>
      <c r="B2" s="349"/>
      <c r="C2" s="349"/>
      <c r="D2" s="349"/>
      <c r="E2" s="349"/>
      <c r="F2" s="349"/>
      <c r="G2" s="349"/>
      <c r="H2" s="349"/>
      <c r="I2" s="349"/>
    </row>
    <row r="3" spans="1:9" x14ac:dyDescent="0.3">
      <c r="A3" s="349"/>
      <c r="B3" s="349"/>
      <c r="C3" s="349"/>
      <c r="D3" s="349"/>
      <c r="E3" s="349"/>
      <c r="F3" s="349"/>
      <c r="G3" s="349"/>
      <c r="H3" s="349"/>
      <c r="I3" s="349"/>
    </row>
    <row r="4" spans="1:9" x14ac:dyDescent="0.3">
      <c r="A4" s="349"/>
      <c r="B4" s="349"/>
      <c r="C4" s="349"/>
      <c r="D4" s="349"/>
      <c r="E4" s="349"/>
      <c r="F4" s="349"/>
      <c r="G4" s="349"/>
      <c r="H4" s="349"/>
      <c r="I4" s="349"/>
    </row>
    <row r="8" spans="1:9" ht="24.6" x14ac:dyDescent="0.4">
      <c r="C8" s="173" t="s">
        <v>141</v>
      </c>
    </row>
    <row r="12" spans="1:9" ht="24.6" x14ac:dyDescent="0.4">
      <c r="C12" s="173"/>
      <c r="D12" s="173"/>
      <c r="E12" s="173"/>
      <c r="F12" s="173"/>
      <c r="G12" s="173"/>
    </row>
    <row r="13" spans="1:9" ht="24.6" x14ac:dyDescent="0.4">
      <c r="C13" s="173"/>
      <c r="D13" s="173"/>
      <c r="E13" s="173"/>
      <c r="F13" s="173"/>
      <c r="G13" s="173"/>
    </row>
    <row r="14" spans="1:9" ht="24.6" x14ac:dyDescent="0.4">
      <c r="C14" s="173"/>
      <c r="D14" s="173"/>
      <c r="E14" s="173"/>
      <c r="F14" s="173"/>
      <c r="G14" s="173"/>
    </row>
    <row r="15" spans="1:9" ht="24.6" x14ac:dyDescent="0.4">
      <c r="C15" s="435" t="s">
        <v>358</v>
      </c>
      <c r="D15" s="435"/>
      <c r="E15" s="435"/>
      <c r="F15" s="435"/>
      <c r="G15" s="435"/>
      <c r="H15" s="435"/>
    </row>
    <row r="16" spans="1:9" ht="24.6" x14ac:dyDescent="0.4">
      <c r="C16" s="173"/>
      <c r="D16" s="173"/>
      <c r="E16" s="173"/>
      <c r="F16" s="173"/>
      <c r="G16" s="173"/>
    </row>
    <row r="17" spans="1:9" ht="24.6" x14ac:dyDescent="0.4">
      <c r="C17" s="173"/>
      <c r="D17" s="173"/>
      <c r="E17" s="173"/>
      <c r="F17" s="173"/>
      <c r="G17" s="173"/>
    </row>
    <row r="21" spans="1:9" ht="24.6" x14ac:dyDescent="0.4">
      <c r="A21" s="435" t="s">
        <v>206</v>
      </c>
      <c r="B21" s="435"/>
      <c r="C21" s="435"/>
      <c r="D21" s="435"/>
      <c r="E21" s="435"/>
      <c r="F21" s="435"/>
      <c r="G21" s="435"/>
      <c r="H21" s="435"/>
      <c r="I21" s="435"/>
    </row>
    <row r="22" spans="1:9" ht="24.6" x14ac:dyDescent="0.4">
      <c r="C22" s="173"/>
      <c r="D22" s="173"/>
      <c r="E22" s="173"/>
    </row>
    <row r="31" spans="1:9" x14ac:dyDescent="0.3">
      <c r="A31" s="349"/>
      <c r="B31" s="349"/>
      <c r="C31" s="349"/>
      <c r="D31" s="349"/>
      <c r="E31" s="349"/>
      <c r="F31" s="349"/>
      <c r="G31" s="349"/>
      <c r="H31" s="349"/>
      <c r="I31" s="349"/>
    </row>
    <row r="32" spans="1:9" x14ac:dyDescent="0.3">
      <c r="A32" s="349"/>
      <c r="B32" s="349"/>
      <c r="C32" s="349"/>
      <c r="D32" s="349"/>
      <c r="E32" s="349"/>
      <c r="F32" s="349"/>
      <c r="G32" s="349"/>
      <c r="H32" s="349"/>
      <c r="I32" s="349"/>
    </row>
    <row r="33" spans="1:9" x14ac:dyDescent="0.3">
      <c r="A33" s="349"/>
      <c r="B33" s="349"/>
      <c r="C33" s="349"/>
      <c r="D33" s="349"/>
      <c r="E33" s="349"/>
      <c r="F33" s="349"/>
      <c r="G33" s="349"/>
      <c r="H33" s="349"/>
      <c r="I33" s="349"/>
    </row>
    <row r="35" spans="1:9" x14ac:dyDescent="0.3">
      <c r="A35" s="175"/>
      <c r="B35" s="175"/>
      <c r="C35" s="175"/>
      <c r="D35" s="175"/>
    </row>
    <row r="36" spans="1:9" x14ac:dyDescent="0.3">
      <c r="A36" t="s">
        <v>139</v>
      </c>
    </row>
    <row r="37" spans="1:9" x14ac:dyDescent="0.3">
      <c r="I37" s="174">
        <f ca="1">TODAY()-1</f>
        <v>44417</v>
      </c>
    </row>
    <row r="38" spans="1:9" x14ac:dyDescent="0.3">
      <c r="A38" s="175"/>
      <c r="B38" s="175"/>
      <c r="C38" s="175"/>
      <c r="D38" s="175"/>
    </row>
    <row r="39" spans="1:9" x14ac:dyDescent="0.3">
      <c r="A39" t="s">
        <v>140</v>
      </c>
    </row>
  </sheetData>
  <mergeCells count="2">
    <mergeCell ref="C15:H15"/>
    <mergeCell ref="A21:I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Fund Recon-Summary</vt:lpstr>
      <vt:lpstr>General Fund Cover</vt:lpstr>
      <vt:lpstr>GF SUMMARY-NEEDS WORK</vt:lpstr>
      <vt:lpstr>GF Capital Exp by Depart</vt:lpstr>
      <vt:lpstr>GF Capital Upkeep</vt:lpstr>
      <vt:lpstr>Debt Service Cover</vt:lpstr>
      <vt:lpstr>Debt Service Fund</vt:lpstr>
      <vt:lpstr>Debt Service Cash Flow</vt:lpstr>
      <vt:lpstr>Capital Project Cover</vt:lpstr>
      <vt:lpstr>Capital Projects Fund</vt:lpstr>
      <vt:lpstr>Capital Project Cash Flow</vt:lpstr>
      <vt:lpstr>Capital Upkeep Cash Flow</vt:lpstr>
      <vt:lpstr> District Cash Flow</vt:lpstr>
      <vt:lpstr>Pie Chart</vt:lpstr>
      <vt:lpstr>Sheet2</vt:lpstr>
      <vt:lpstr>' District Cash Flow'!Print_Area</vt:lpstr>
      <vt:lpstr>'Capital Project Cash Flow'!Print_Area</vt:lpstr>
      <vt:lpstr>'Capital Upkeep Cash Flow'!Print_Area</vt:lpstr>
      <vt:lpstr>'Debt Service Cash Flow'!Print_Area</vt:lpstr>
      <vt:lpstr>'GF Capital Exp by Depart'!Print_Area</vt:lpstr>
      <vt:lpstr>'GF Capital Upkeep'!Print_Area</vt:lpstr>
      <vt:lpstr>'Pie Chart'!Print_Area</vt:lpstr>
    </vt:vector>
  </TitlesOfParts>
  <Company>WCID17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Ellis</dc:creator>
  <cp:lastModifiedBy>Veronica Ellis</cp:lastModifiedBy>
  <cp:lastPrinted>2021-08-10T16:59:03Z</cp:lastPrinted>
  <dcterms:created xsi:type="dcterms:W3CDTF">2018-08-08T15:25:24Z</dcterms:created>
  <dcterms:modified xsi:type="dcterms:W3CDTF">2021-08-10T16:59:15Z</dcterms:modified>
</cp:coreProperties>
</file>